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720" windowHeight="5985" tabRatio="760" activeTab="1"/>
  </bookViews>
  <sheets>
    <sheet name="Intro &amp; Example" sheetId="1" r:id="rId1"/>
    <sheet name="Instructions" sheetId="2" r:id="rId2"/>
    <sheet name="Dimensional Change" sheetId="3" r:id="rId3"/>
    <sheet name="EMC" sheetId="4" r:id="rId4"/>
    <sheet name="SG &amp; Density" sheetId="5" r:id="rId5"/>
    <sheet name="cuft per BF" sheetId="6" r:id="rId6"/>
    <sheet name="%Shrinkage &amp; SG" sheetId="7" r:id="rId7"/>
    <sheet name="Formulas" sheetId="8" r:id="rId8"/>
  </sheets>
  <definedNames>
    <definedName name="_xlnm.Print_Area" localSheetId="6">'%Shrinkage &amp; SG'!$A$1:$K$122</definedName>
    <definedName name="_xlnm.Print_Area" localSheetId="2">'Dimensional Change'!$A$1:$R$22</definedName>
    <definedName name="_xlnm.Print_Area" localSheetId="7">'Formulas'!$A$1:$I$71</definedName>
    <definedName name="_xlnm.Print_Area" localSheetId="1">'Instructions'!$A$1:$K$62</definedName>
    <definedName name="_xlnm.Print_Area" localSheetId="4">'SG &amp; Density'!$A$1:$O$23</definedName>
  </definedNames>
  <calcPr fullCalcOnLoad="1"/>
</workbook>
</file>

<file path=xl/comments3.xml><?xml version="1.0" encoding="utf-8"?>
<comments xmlns="http://schemas.openxmlformats.org/spreadsheetml/2006/main">
  <authors>
    <author>Scott Leavengood</author>
  </authors>
  <commentList>
    <comment ref="H7" authorId="0">
      <text>
        <r>
          <rPr>
            <b/>
            <sz val="8"/>
            <rFont val="Tahoma"/>
            <family val="0"/>
          </rPr>
          <t>Enter Final MC if known or leave this cell blank and enter Temp and RH</t>
        </r>
      </text>
    </comment>
  </commentList>
</comments>
</file>

<file path=xl/comments5.xml><?xml version="1.0" encoding="utf-8"?>
<comments xmlns="http://schemas.openxmlformats.org/spreadsheetml/2006/main">
  <authors>
    <author>Scott Leavengood</author>
  </authors>
  <commentList>
    <comment ref="N6" authorId="0">
      <text>
        <r>
          <rPr>
            <sz val="8"/>
            <rFont val="Tahoma"/>
            <family val="2"/>
          </rPr>
          <t>Note:</t>
        </r>
        <r>
          <rPr>
            <b/>
            <sz val="8"/>
            <rFont val="Tahoma"/>
            <family val="0"/>
          </rPr>
          <t xml:space="preserve">  Density due to Water </t>
        </r>
        <r>
          <rPr>
            <sz val="8"/>
            <rFont val="Tahoma"/>
            <family val="2"/>
          </rPr>
          <t xml:space="preserve">addresses the question, "How much of the weight of this piece of wood is due to water?", or from another perspective, "How much water would  be removed when drying from the selected moisture content to ovendry?"
</t>
        </r>
      </text>
    </comment>
    <comment ref="K15" authorId="0">
      <text>
        <r>
          <rPr>
            <sz val="8"/>
            <rFont val="Tahoma"/>
            <family val="2"/>
          </rPr>
          <t xml:space="preserve">Note:  </t>
        </r>
        <r>
          <rPr>
            <b/>
            <sz val="8"/>
            <rFont val="Tahoma"/>
            <family val="2"/>
          </rPr>
          <t>Density due to Water</t>
        </r>
        <r>
          <rPr>
            <sz val="8"/>
            <rFont val="Tahoma"/>
            <family val="2"/>
          </rPr>
          <t xml:space="preserve"> addresses the question, "How much of the weight of this piece of wood is due to water?", or from another perspective, "How much water would  be removed when drying from the selected moisture content to ovendry?"
</t>
        </r>
      </text>
    </comment>
  </commentList>
</comments>
</file>

<file path=xl/comments7.xml><?xml version="1.0" encoding="utf-8"?>
<comments xmlns="http://schemas.openxmlformats.org/spreadsheetml/2006/main">
  <authors>
    <author>Scott Leavengood</author>
  </authors>
  <commentList>
    <comment ref="B78" authorId="0">
      <text>
        <r>
          <rPr>
            <b/>
            <sz val="8"/>
            <color indexed="10"/>
            <rFont val="Tahoma"/>
            <family val="2"/>
          </rPr>
          <t>Coast</t>
        </r>
        <r>
          <rPr>
            <b/>
            <sz val="8"/>
            <rFont val="Tahoma"/>
            <family val="0"/>
          </rPr>
          <t xml:space="preserve"> Douglas-fir is defined as Douglas-fir growing in the States of Oregon and Washington west of the summit of the Cascade Mountains.  Interior West includes the State of California and all counties in Oregon and Washington east of but adjacent to the Cascade summit.  Interior North includes the remainder of Oregon and Washington and the States of Idaho, Montana, and Wyoming.  </t>
        </r>
      </text>
    </comment>
    <comment ref="B79" authorId="0">
      <text>
        <r>
          <rPr>
            <b/>
            <sz val="8"/>
            <rFont val="Tahoma"/>
            <family val="2"/>
          </rPr>
          <t xml:space="preserve">Coast Douglas-fir is defined as Douglas-fir growing in the States of Oregon and Washington west of the summit of the Cascade Mountains.  Interior West includes the State of California and all counties in Oregon and Washington east of but adjacent to the Cascade summit.  </t>
        </r>
        <r>
          <rPr>
            <b/>
            <sz val="8"/>
            <color indexed="10"/>
            <rFont val="Tahoma"/>
            <family val="2"/>
          </rPr>
          <t>Interior North</t>
        </r>
        <r>
          <rPr>
            <b/>
            <sz val="8"/>
            <rFont val="Tahoma"/>
            <family val="2"/>
          </rPr>
          <t xml:space="preserve"> includes the remainder of Oregon and Washington and the States of Idaho, Montana, and Wyoming.  </t>
        </r>
        <r>
          <rPr>
            <sz val="8"/>
            <rFont val="Tahoma"/>
            <family val="0"/>
          </rPr>
          <t xml:space="preserve">
</t>
        </r>
      </text>
    </comment>
    <comment ref="B80" authorId="0">
      <text>
        <r>
          <rPr>
            <b/>
            <sz val="8"/>
            <rFont val="Tahoma"/>
            <family val="2"/>
          </rPr>
          <t xml:space="preserve">Coast Douglas-fir is defined as Douglas-fir growing in the States of Oregon and Washington west of the summit of the Cascade Mountains. </t>
        </r>
        <r>
          <rPr>
            <b/>
            <sz val="8"/>
            <color indexed="10"/>
            <rFont val="Tahoma"/>
            <family val="2"/>
          </rPr>
          <t xml:space="preserve"> Interior West</t>
        </r>
        <r>
          <rPr>
            <b/>
            <sz val="8"/>
            <rFont val="Tahoma"/>
            <family val="2"/>
          </rPr>
          <t xml:space="preserve"> includes the State of California and all counties in Oregon and Washington east of but adjacent to the Cascade summit.  Interior North includes the remainder of Oregon and Washington and the States of Idaho, Montana, and Wyoming.  
</t>
        </r>
      </text>
    </comment>
  </commentList>
</comments>
</file>

<file path=xl/sharedStrings.xml><?xml version="1.0" encoding="utf-8"?>
<sst xmlns="http://schemas.openxmlformats.org/spreadsheetml/2006/main" count="543" uniqueCount="385">
  <si>
    <t>RH (%)</t>
  </si>
  <si>
    <t>EMC</t>
  </si>
  <si>
    <t>W</t>
  </si>
  <si>
    <t>K</t>
  </si>
  <si>
    <t>KH</t>
  </si>
  <si>
    <t>Converted temp</t>
  </si>
  <si>
    <t>Temp</t>
  </si>
  <si>
    <t>Density</t>
  </si>
  <si>
    <t>Ovendry</t>
  </si>
  <si>
    <t>Shrinkage</t>
  </si>
  <si>
    <t xml:space="preserve">% Vol. </t>
  </si>
  <si>
    <t>GRN to OD</t>
  </si>
  <si>
    <r>
      <t>SG</t>
    </r>
    <r>
      <rPr>
        <b/>
        <vertAlign val="subscript"/>
        <sz val="9"/>
        <rFont val="Arial"/>
        <family val="2"/>
      </rPr>
      <t>GRN</t>
    </r>
  </si>
  <si>
    <t>alder, red</t>
  </si>
  <si>
    <t>beech, American</t>
  </si>
  <si>
    <t>buckeye, yellow</t>
  </si>
  <si>
    <t>butternut</t>
  </si>
  <si>
    <t>cherry, black</t>
  </si>
  <si>
    <t>chestnut, American</t>
  </si>
  <si>
    <t>basswood, American</t>
  </si>
  <si>
    <t>hackberry</t>
  </si>
  <si>
    <t>hickory, pecan</t>
  </si>
  <si>
    <t>holly, American</t>
  </si>
  <si>
    <t>honeylocust</t>
  </si>
  <si>
    <t>locust, black</t>
  </si>
  <si>
    <t>madrone, Pacific</t>
  </si>
  <si>
    <t>oak, white</t>
  </si>
  <si>
    <t>persimmon, common</t>
  </si>
  <si>
    <t>sassafras</t>
  </si>
  <si>
    <t>sweetgum</t>
  </si>
  <si>
    <t>sycamore, American</t>
  </si>
  <si>
    <t>tanoak</t>
  </si>
  <si>
    <t>walnut, black</t>
  </si>
  <si>
    <t>willow, black</t>
  </si>
  <si>
    <t>baldcypress</t>
  </si>
  <si>
    <t>larch, western</t>
  </si>
  <si>
    <t>tamarack</t>
  </si>
  <si>
    <t>SPECIES</t>
  </si>
  <si>
    <t>?</t>
  </si>
  <si>
    <t>juniper, western</t>
  </si>
  <si>
    <t>Average</t>
  </si>
  <si>
    <t>Green MC (%)</t>
  </si>
  <si>
    <t>Sapwood</t>
  </si>
  <si>
    <t>Heartwood</t>
  </si>
  <si>
    <t>and</t>
  </si>
  <si>
    <t>2x4</t>
  </si>
  <si>
    <t>2x6</t>
  </si>
  <si>
    <t>2x8</t>
  </si>
  <si>
    <t>2x10</t>
  </si>
  <si>
    <t>2x12</t>
  </si>
  <si>
    <t>4x4</t>
  </si>
  <si>
    <t>4x6</t>
  </si>
  <si>
    <t>Surfaced Dry</t>
  </si>
  <si>
    <t>4x8</t>
  </si>
  <si>
    <t>4x10</t>
  </si>
  <si>
    <t>4x12</t>
  </si>
  <si>
    <t>Surfaced Dry (15% MC)</t>
  </si>
  <si>
    <t>Nominal</t>
  </si>
  <si>
    <t>Thickness</t>
  </si>
  <si>
    <t>Width</t>
  </si>
  <si>
    <t xml:space="preserve">Actual </t>
  </si>
  <si>
    <t>Dim.</t>
  </si>
  <si>
    <t>1x4, 4/4x4</t>
  </si>
  <si>
    <t>1x6, 4/4x6</t>
  </si>
  <si>
    <t>1x8, 4/4x8</t>
  </si>
  <si>
    <t>1x10, 4/4x10</t>
  </si>
  <si>
    <t>1x12, 4/4x12</t>
  </si>
  <si>
    <t>5/4x4</t>
  </si>
  <si>
    <t>5/4x6</t>
  </si>
  <si>
    <t>5/4x8</t>
  </si>
  <si>
    <t>5/4x10</t>
  </si>
  <si>
    <t>5/4x12</t>
  </si>
  <si>
    <t>6/4x4</t>
  </si>
  <si>
    <t>6/4x6</t>
  </si>
  <si>
    <t>6/4x8</t>
  </si>
  <si>
    <t>6/4x10</t>
  </si>
  <si>
    <t>6/4x12</t>
  </si>
  <si>
    <t>7/4x4</t>
  </si>
  <si>
    <t>7/4x6</t>
  </si>
  <si>
    <t>7/4x8</t>
  </si>
  <si>
    <t>7/4x10</t>
  </si>
  <si>
    <t>7/4x12</t>
  </si>
  <si>
    <t>8/4x4</t>
  </si>
  <si>
    <t>8/4x6</t>
  </si>
  <si>
    <t>8/4x8</t>
  </si>
  <si>
    <t>8/4x10</t>
  </si>
  <si>
    <t>8/4x12</t>
  </si>
  <si>
    <t xml:space="preserve">Thickness </t>
  </si>
  <si>
    <t>Species</t>
  </si>
  <si>
    <t>Dimensional Change in</t>
  </si>
  <si>
    <t>MC</t>
  </si>
  <si>
    <t>Tangential</t>
  </si>
  <si>
    <t>Radial</t>
  </si>
  <si>
    <t>Changes within 6-14%</t>
  </si>
  <si>
    <t>Dim. Change Coeff.</t>
  </si>
  <si>
    <t>Changes &gt; 6-14%</t>
  </si>
  <si>
    <t>% Shrinkage grn to OD</t>
  </si>
  <si>
    <t>ash, black</t>
  </si>
  <si>
    <t>ash, green</t>
  </si>
  <si>
    <t>ash, Oregon</t>
  </si>
  <si>
    <t>ash, pumpkin</t>
  </si>
  <si>
    <t>ash, white</t>
  </si>
  <si>
    <t>birch, paper</t>
  </si>
  <si>
    <t>birch, river</t>
  </si>
  <si>
    <t xml:space="preserve">birch, sweet </t>
  </si>
  <si>
    <t>birch, yellow</t>
  </si>
  <si>
    <t>cottonwood, black</t>
  </si>
  <si>
    <t>cottonwood, eastern</t>
  </si>
  <si>
    <t>elm, American</t>
  </si>
  <si>
    <t>elm, cedar</t>
  </si>
  <si>
    <t>elm, rock</t>
  </si>
  <si>
    <t>elm, slippery</t>
  </si>
  <si>
    <t>elm, winged</t>
  </si>
  <si>
    <t>hickory, mockernut</t>
  </si>
  <si>
    <t>hickory, pignut</t>
  </si>
  <si>
    <t>hickory, shagbark</t>
  </si>
  <si>
    <t>hickory, shellbark</t>
  </si>
  <si>
    <t>magnolia, cucumbertree</t>
  </si>
  <si>
    <t>magnolia, Southern</t>
  </si>
  <si>
    <t>magnolia, sweetbay</t>
  </si>
  <si>
    <t>maple, bigleaf</t>
  </si>
  <si>
    <t>maple, black</t>
  </si>
  <si>
    <t>maple, red</t>
  </si>
  <si>
    <t>maple, silver</t>
  </si>
  <si>
    <t>maple, sugar</t>
  </si>
  <si>
    <t>oak, black</t>
  </si>
  <si>
    <t>oak, laurel</t>
  </si>
  <si>
    <t>oak, Northern red</t>
  </si>
  <si>
    <t>oak, Southern red</t>
  </si>
  <si>
    <t>oak, water</t>
  </si>
  <si>
    <t>oak, willow</t>
  </si>
  <si>
    <t>oak, live</t>
  </si>
  <si>
    <t>oak, overcup</t>
  </si>
  <si>
    <t>tupelo, black</t>
  </si>
  <si>
    <t>tupelo, water</t>
  </si>
  <si>
    <t>poplar-yellow</t>
  </si>
  <si>
    <t>cedar, Alaska-</t>
  </si>
  <si>
    <t>cedar, Atlantic white-</t>
  </si>
  <si>
    <t>cedar, incense-</t>
  </si>
  <si>
    <t>cedar, eastern redcedar</t>
  </si>
  <si>
    <t>cedar, Northern white-</t>
  </si>
  <si>
    <t>cedar, Port-Orford-</t>
  </si>
  <si>
    <t>cedar, western redcedar</t>
  </si>
  <si>
    <t>Douglas-fir, coast</t>
  </si>
  <si>
    <t>Douglas-fir, interior north</t>
  </si>
  <si>
    <t>Douglas-fir, interior west</t>
  </si>
  <si>
    <t>fir, balsam</t>
  </si>
  <si>
    <t>fir, California red</t>
  </si>
  <si>
    <t>fir, grand</t>
  </si>
  <si>
    <t>fir, noble</t>
  </si>
  <si>
    <t>fir, Pacific silver</t>
  </si>
  <si>
    <t>fir, subalpine</t>
  </si>
  <si>
    <t>fir, white</t>
  </si>
  <si>
    <t>hemlock, eastern</t>
  </si>
  <si>
    <t>hemlock, western</t>
  </si>
  <si>
    <t>pine, eastern white</t>
  </si>
  <si>
    <t>pine, jack</t>
  </si>
  <si>
    <t>pine, loblolly</t>
  </si>
  <si>
    <t>pine, lodgepole</t>
  </si>
  <si>
    <t>pine, longleaf</t>
  </si>
  <si>
    <t>pine, pond</t>
  </si>
  <si>
    <t>pine, ponderosa</t>
  </si>
  <si>
    <t>pine, red</t>
  </si>
  <si>
    <t>pine, shortleaf</t>
  </si>
  <si>
    <t>pine, slash</t>
  </si>
  <si>
    <t>pine, sugar</t>
  </si>
  <si>
    <t>pine, Virginia</t>
  </si>
  <si>
    <t>pine, western white</t>
  </si>
  <si>
    <t>redwood, old-growth</t>
  </si>
  <si>
    <t>redwood, young-growth</t>
  </si>
  <si>
    <t>spruce, black</t>
  </si>
  <si>
    <t>spruce, Engelmann</t>
  </si>
  <si>
    <t>spruce, red</t>
  </si>
  <si>
    <t>spruce, Sitka</t>
  </si>
  <si>
    <t>aspen, quaking</t>
  </si>
  <si>
    <t xml:space="preserve">Initial </t>
  </si>
  <si>
    <t>in MC</t>
  </si>
  <si>
    <t>Change</t>
  </si>
  <si>
    <t xml:space="preserve">Grain </t>
  </si>
  <si>
    <t>Orientation</t>
  </si>
  <si>
    <t>flatsawn</t>
  </si>
  <si>
    <t>quartersawn</t>
  </si>
  <si>
    <t>mixed grain</t>
  </si>
  <si>
    <t>Final</t>
  </si>
  <si>
    <t>INITIAL CONDITIONS</t>
  </si>
  <si>
    <t>FINAL CONDITIONS</t>
  </si>
  <si>
    <t>MC (%)</t>
  </si>
  <si>
    <t>Final Size</t>
  </si>
  <si>
    <r>
      <t>SG</t>
    </r>
    <r>
      <rPr>
        <b/>
        <vertAlign val="subscript"/>
        <sz val="9"/>
        <rFont val="Arial"/>
        <family val="2"/>
      </rPr>
      <t>MC</t>
    </r>
  </si>
  <si>
    <t>pine, radiata (Monterey)</t>
  </si>
  <si>
    <t>new species1</t>
  </si>
  <si>
    <t>new species2</t>
  </si>
  <si>
    <t>new species3</t>
  </si>
  <si>
    <t>new species4</t>
  </si>
  <si>
    <t>new species5</t>
  </si>
  <si>
    <t>new species6</t>
  </si>
  <si>
    <r>
      <t>SG</t>
    </r>
    <r>
      <rPr>
        <b/>
        <vertAlign val="subscript"/>
        <sz val="9"/>
        <rFont val="Arial"/>
        <family val="2"/>
      </rPr>
      <t>12</t>
    </r>
  </si>
  <si>
    <r>
      <t xml:space="preserve">Alden, H.A.  </t>
    </r>
    <r>
      <rPr>
        <b/>
        <i/>
        <sz val="8"/>
        <rFont val="Arial"/>
        <family val="2"/>
      </rPr>
      <t>Hardwoods of North America</t>
    </r>
    <r>
      <rPr>
        <b/>
        <sz val="8"/>
        <rFont val="Arial"/>
        <family val="2"/>
      </rPr>
      <t xml:space="preserve">. 1995. General Technical Report FPL-GTR-83.  </t>
    </r>
  </si>
  <si>
    <r>
      <t>Note</t>
    </r>
    <r>
      <rPr>
        <b/>
        <sz val="8"/>
        <rFont val="Arial"/>
        <family val="2"/>
      </rPr>
      <t>:</t>
    </r>
    <r>
      <rPr>
        <sz val="8"/>
        <rFont val="Arial"/>
        <family val="2"/>
      </rPr>
      <t xml:space="preserve">  </t>
    </r>
    <r>
      <rPr>
        <b/>
        <sz val="8"/>
        <rFont val="Arial"/>
        <family val="2"/>
      </rPr>
      <t>Flatsawn</t>
    </r>
    <r>
      <rPr>
        <sz val="8"/>
        <rFont val="Arial"/>
        <family val="2"/>
      </rPr>
      <t xml:space="preserve"> includes plainsawn, rotary peeled, or plain-sliced.</t>
    </r>
  </si>
  <si>
    <t>ODW</t>
  </si>
  <si>
    <t>Dens@15%</t>
  </si>
  <si>
    <t>pcf to kgm3</t>
  </si>
  <si>
    <t>1. Dimensional Change</t>
  </si>
  <si>
    <t>2.  EMC</t>
  </si>
  <si>
    <t>3.  SG &amp; Density</t>
  </si>
  <si>
    <t>Options:</t>
  </si>
  <si>
    <t xml:space="preserve">To add the next species, follow the same steps beginning in cell B114 for "new species 2."  </t>
  </si>
  <si>
    <r>
      <t>e.</t>
    </r>
    <r>
      <rPr>
        <sz val="9"/>
        <rFont val="Arial"/>
        <family val="2"/>
      </rPr>
      <t xml:space="preserve"> Select grain orientation </t>
    </r>
  </si>
  <si>
    <r>
      <t xml:space="preserve">c. </t>
    </r>
    <r>
      <rPr>
        <sz val="9"/>
        <rFont val="Arial"/>
        <family val="2"/>
      </rPr>
      <t xml:space="preserve">Enter moisture content (MC) of interest. </t>
    </r>
  </si>
  <si>
    <t xml:space="preserve">Calculates dimensional change for wood based on species, initial and final moisture content (or  </t>
  </si>
  <si>
    <t>temperature and relative humidity), grain orientation, and piece size (width and thickness).</t>
  </si>
  <si>
    <t>SGOD</t>
  </si>
  <si>
    <t>SG15</t>
  </si>
  <si>
    <t>SGx</t>
  </si>
  <si>
    <t>Weight per board foot of</t>
  </si>
  <si>
    <r>
      <t>Table 1.</t>
    </r>
    <r>
      <rPr>
        <b/>
        <sz val="11"/>
        <color indexed="12"/>
        <rFont val="Times New Roman"/>
        <family val="1"/>
      </rPr>
      <t xml:space="preserve">  Green Specific Gravity (SG</t>
    </r>
    <r>
      <rPr>
        <b/>
        <vertAlign val="subscript"/>
        <sz val="11"/>
        <color indexed="12"/>
        <rFont val="Times New Roman"/>
        <family val="1"/>
      </rPr>
      <t>GRN</t>
    </r>
    <r>
      <rPr>
        <b/>
        <sz val="11"/>
        <color indexed="12"/>
        <rFont val="Times New Roman"/>
        <family val="1"/>
      </rPr>
      <t>) Known</t>
    </r>
  </si>
  <si>
    <r>
      <t>Table 2.</t>
    </r>
    <r>
      <rPr>
        <b/>
        <sz val="11"/>
        <color indexed="12"/>
        <rFont val="Times New Roman"/>
        <family val="1"/>
      </rPr>
      <t xml:space="preserve">  Dry Specific Gravity (SG</t>
    </r>
    <r>
      <rPr>
        <b/>
        <vertAlign val="subscript"/>
        <sz val="11"/>
        <color indexed="12"/>
        <rFont val="Times New Roman"/>
        <family val="1"/>
      </rPr>
      <t>12</t>
    </r>
    <r>
      <rPr>
        <b/>
        <sz val="11"/>
        <color indexed="12"/>
        <rFont val="Times New Roman"/>
        <family val="1"/>
      </rPr>
      <t>) Known</t>
    </r>
  </si>
  <si>
    <r>
      <t>Quartersawn</t>
    </r>
    <r>
      <rPr>
        <sz val="8"/>
        <rFont val="Arial"/>
        <family val="2"/>
      </rPr>
      <t xml:space="preserve"> includes edge-grained, vertical grained, or quarter-sliced</t>
    </r>
  </si>
  <si>
    <t>flatsawn, plainsawn</t>
  </si>
  <si>
    <t>bastard sawn</t>
  </si>
  <si>
    <t>quartersawn, edge-grained</t>
  </si>
  <si>
    <t>vertical-grained (VG)</t>
  </si>
  <si>
    <t>Equilibrium Moisture Content (EMC)</t>
  </si>
  <si>
    <t>Dimensional Change</t>
  </si>
  <si>
    <t xml:space="preserve">The change in dimension within the moisture content limits of 6 to 14 percent is </t>
  </si>
  <si>
    <t>calculated as:</t>
  </si>
  <si>
    <t>where:</t>
  </si>
  <si>
    <r>
      <t>Change in dimension = D</t>
    </r>
    <r>
      <rPr>
        <b/>
        <vertAlign val="subscript"/>
        <sz val="10"/>
        <rFont val="Arial"/>
        <family val="2"/>
      </rPr>
      <t>I</t>
    </r>
    <r>
      <rPr>
        <b/>
        <sz val="10"/>
        <rFont val="Arial"/>
        <family val="2"/>
      </rPr>
      <t xml:space="preserve"> [C</t>
    </r>
    <r>
      <rPr>
        <b/>
        <vertAlign val="subscript"/>
        <sz val="10"/>
        <rFont val="Arial"/>
        <family val="2"/>
      </rPr>
      <t>T</t>
    </r>
    <r>
      <rPr>
        <b/>
        <sz val="10"/>
        <rFont val="Arial"/>
        <family val="2"/>
      </rPr>
      <t>(M</t>
    </r>
    <r>
      <rPr>
        <b/>
        <vertAlign val="subscript"/>
        <sz val="10"/>
        <rFont val="Arial"/>
        <family val="2"/>
      </rPr>
      <t>F</t>
    </r>
    <r>
      <rPr>
        <b/>
        <sz val="10"/>
        <rFont val="Arial"/>
        <family val="2"/>
      </rPr>
      <t xml:space="preserve"> - M</t>
    </r>
    <r>
      <rPr>
        <b/>
        <vertAlign val="subscript"/>
        <sz val="10"/>
        <rFont val="Arial"/>
        <family val="2"/>
      </rPr>
      <t>I</t>
    </r>
    <r>
      <rPr>
        <b/>
        <sz val="10"/>
        <rFont val="Arial"/>
        <family val="2"/>
      </rPr>
      <t>)]</t>
    </r>
  </si>
  <si>
    <r>
      <t>C</t>
    </r>
    <r>
      <rPr>
        <vertAlign val="subscript"/>
        <sz val="8"/>
        <rFont val="Arial"/>
        <family val="2"/>
      </rPr>
      <t>T</t>
    </r>
    <r>
      <rPr>
        <sz val="8"/>
        <rFont val="Arial"/>
        <family val="2"/>
      </rPr>
      <t xml:space="preserve"> = dimensional change coefficient, tangential direction (for radial direction use C</t>
    </r>
    <r>
      <rPr>
        <vertAlign val="subscript"/>
        <sz val="8"/>
        <rFont val="Arial"/>
        <family val="2"/>
      </rPr>
      <t>R</t>
    </r>
    <r>
      <rPr>
        <sz val="8"/>
        <rFont val="Arial"/>
        <family val="2"/>
      </rPr>
      <t>)</t>
    </r>
  </si>
  <si>
    <r>
      <t>M</t>
    </r>
    <r>
      <rPr>
        <vertAlign val="subscript"/>
        <sz val="8"/>
        <rFont val="Arial"/>
        <family val="2"/>
      </rPr>
      <t>F</t>
    </r>
    <r>
      <rPr>
        <sz val="8"/>
        <rFont val="Arial"/>
        <family val="2"/>
      </rPr>
      <t xml:space="preserve"> = final moisture content (percent)</t>
    </r>
  </si>
  <si>
    <r>
      <t>M</t>
    </r>
    <r>
      <rPr>
        <vertAlign val="subscript"/>
        <sz val="8"/>
        <rFont val="Arial"/>
        <family val="2"/>
      </rPr>
      <t>I</t>
    </r>
    <r>
      <rPr>
        <sz val="8"/>
        <rFont val="Arial"/>
        <family val="2"/>
      </rPr>
      <t xml:space="preserve"> = initial moisture content (percent)</t>
    </r>
  </si>
  <si>
    <t>Approximate dimensional changes associated with moisture content changes larger than</t>
  </si>
  <si>
    <t>6 to 14 percent, or when one value is outside of those limits, can be calculated by:</t>
  </si>
  <si>
    <t xml:space="preserve">Change in dimension = </t>
  </si>
  <si>
    <t>30(100)</t>
  </si>
  <si>
    <r>
      <t>D</t>
    </r>
    <r>
      <rPr>
        <b/>
        <vertAlign val="subscript"/>
        <sz val="10"/>
        <rFont val="Arial"/>
        <family val="2"/>
      </rPr>
      <t>I</t>
    </r>
    <r>
      <rPr>
        <b/>
        <sz val="10"/>
        <rFont val="Arial"/>
        <family val="2"/>
      </rPr>
      <t>(M</t>
    </r>
    <r>
      <rPr>
        <b/>
        <vertAlign val="subscript"/>
        <sz val="10"/>
        <rFont val="Arial"/>
        <family val="2"/>
      </rPr>
      <t>F</t>
    </r>
    <r>
      <rPr>
        <b/>
        <sz val="10"/>
        <rFont val="Arial"/>
        <family val="2"/>
      </rPr>
      <t xml:space="preserve"> - M</t>
    </r>
    <r>
      <rPr>
        <b/>
        <vertAlign val="subscript"/>
        <sz val="10"/>
        <rFont val="Arial"/>
        <family val="2"/>
      </rPr>
      <t>I</t>
    </r>
    <r>
      <rPr>
        <b/>
        <sz val="10"/>
        <rFont val="Arial"/>
        <family val="2"/>
      </rPr>
      <t>)</t>
    </r>
  </si>
  <si>
    <r>
      <t>S</t>
    </r>
    <r>
      <rPr>
        <b/>
        <vertAlign val="subscript"/>
        <sz val="10"/>
        <rFont val="Arial"/>
        <family val="2"/>
      </rPr>
      <t>T</t>
    </r>
  </si>
  <si>
    <r>
      <t>D</t>
    </r>
    <r>
      <rPr>
        <vertAlign val="subscript"/>
        <sz val="8"/>
        <rFont val="Arial"/>
        <family val="2"/>
      </rPr>
      <t>I</t>
    </r>
    <r>
      <rPr>
        <sz val="8"/>
        <rFont val="Arial"/>
        <family val="2"/>
      </rPr>
      <t xml:space="preserve"> = initial dimension (in inches or other units)</t>
    </r>
  </si>
  <si>
    <r>
      <t>S</t>
    </r>
    <r>
      <rPr>
        <vertAlign val="subscript"/>
        <sz val="8"/>
        <rFont val="Arial"/>
        <family val="2"/>
      </rPr>
      <t>T</t>
    </r>
    <r>
      <rPr>
        <sz val="8"/>
        <rFont val="Arial"/>
        <family val="2"/>
      </rPr>
      <t xml:space="preserve"> = tangential shrinkage (percent) from green to ovendry (for radial direction use S</t>
    </r>
    <r>
      <rPr>
        <vertAlign val="subscript"/>
        <sz val="8"/>
        <rFont val="Arial"/>
        <family val="2"/>
      </rPr>
      <t>R</t>
    </r>
    <r>
      <rPr>
        <sz val="8"/>
        <rFont val="Arial"/>
        <family val="2"/>
      </rPr>
      <t>)</t>
    </r>
  </si>
  <si>
    <r>
      <t xml:space="preserve"> - 30 + M</t>
    </r>
    <r>
      <rPr>
        <b/>
        <vertAlign val="subscript"/>
        <sz val="10"/>
        <rFont val="Arial"/>
        <family val="2"/>
      </rPr>
      <t>I</t>
    </r>
  </si>
  <si>
    <t>starts for most species.</t>
  </si>
  <si>
    <r>
      <t>Note:</t>
    </r>
    <r>
      <rPr>
        <sz val="10"/>
        <rFont val="Arial"/>
        <family val="0"/>
      </rPr>
      <t xml:space="preserve">  Neither M</t>
    </r>
    <r>
      <rPr>
        <vertAlign val="subscript"/>
        <sz val="10"/>
        <rFont val="Arial"/>
        <family val="2"/>
      </rPr>
      <t>I</t>
    </r>
    <r>
      <rPr>
        <sz val="10"/>
        <rFont val="Arial"/>
        <family val="0"/>
      </rPr>
      <t xml:space="preserve"> nor M</t>
    </r>
    <r>
      <rPr>
        <vertAlign val="subscript"/>
        <sz val="10"/>
        <rFont val="Arial"/>
        <family val="2"/>
      </rPr>
      <t>F</t>
    </r>
    <r>
      <rPr>
        <sz val="10"/>
        <rFont val="Arial"/>
        <family val="0"/>
      </rPr>
      <t xml:space="preserve"> should exceed 30, the assumed moisture content when shrinkage </t>
    </r>
  </si>
  <si>
    <t>SG &amp; Density</t>
  </si>
  <si>
    <t>MI</t>
  </si>
  <si>
    <t>MF</t>
  </si>
  <si>
    <t xml:space="preserve">Specific Gravity (SG) = </t>
  </si>
  <si>
    <t>Weight of equal volume of water</t>
  </si>
  <si>
    <t xml:space="preserve">ODW = ovendry weight of wood </t>
  </si>
  <si>
    <r>
      <t>SG</t>
    </r>
    <r>
      <rPr>
        <b/>
        <vertAlign val="subscript"/>
        <sz val="10"/>
        <rFont val="Arial"/>
        <family val="2"/>
      </rPr>
      <t>GRN</t>
    </r>
  </si>
  <si>
    <r>
      <t>1 - [</t>
    </r>
    <r>
      <rPr>
        <b/>
        <u val="single"/>
        <sz val="10"/>
        <rFont val="Arial"/>
        <family val="2"/>
      </rPr>
      <t>(% vol. shrinkage green to OD)</t>
    </r>
    <r>
      <rPr>
        <b/>
        <sz val="10"/>
        <rFont val="Arial"/>
        <family val="2"/>
      </rPr>
      <t>*</t>
    </r>
    <r>
      <rPr>
        <b/>
        <u val="single"/>
        <sz val="10"/>
        <rFont val="Arial"/>
        <family val="2"/>
      </rPr>
      <t>(30 - MC)</t>
    </r>
    <r>
      <rPr>
        <b/>
        <sz val="10"/>
        <rFont val="Arial"/>
        <family val="2"/>
      </rPr>
      <t>]</t>
    </r>
  </si>
  <si>
    <t xml:space="preserve">OD = ovendry </t>
  </si>
  <si>
    <t>MC = moisture content (percent)</t>
  </si>
  <si>
    <r>
      <t>SG</t>
    </r>
    <r>
      <rPr>
        <vertAlign val="subscript"/>
        <sz val="8"/>
        <rFont val="Arial"/>
        <family val="2"/>
      </rPr>
      <t>GRN</t>
    </r>
    <r>
      <rPr>
        <sz val="8"/>
        <rFont val="Arial"/>
        <family val="2"/>
      </rPr>
      <t xml:space="preserve"> = green specific gravity</t>
    </r>
  </si>
  <si>
    <r>
      <t>SG</t>
    </r>
    <r>
      <rPr>
        <b/>
        <vertAlign val="subscript"/>
        <sz val="10"/>
        <rFont val="Arial"/>
        <family val="2"/>
      </rPr>
      <t>X% MC</t>
    </r>
    <r>
      <rPr>
        <b/>
        <sz val="10"/>
        <rFont val="Arial"/>
        <family val="2"/>
      </rPr>
      <t xml:space="preserve"> =  </t>
    </r>
  </si>
  <si>
    <r>
      <t>Density</t>
    </r>
    <r>
      <rPr>
        <b/>
        <vertAlign val="subscript"/>
        <sz val="10"/>
        <rFont val="Arial"/>
        <family val="2"/>
      </rPr>
      <t>X% MC</t>
    </r>
    <r>
      <rPr>
        <b/>
        <sz val="10"/>
        <rFont val="Arial"/>
        <family val="2"/>
      </rPr>
      <t xml:space="preserve"> = </t>
    </r>
  </si>
  <si>
    <r>
      <t>(SG</t>
    </r>
    <r>
      <rPr>
        <b/>
        <vertAlign val="subscript"/>
        <sz val="10"/>
        <rFont val="Arial"/>
        <family val="2"/>
      </rPr>
      <t>X% MC</t>
    </r>
    <r>
      <rPr>
        <b/>
        <sz val="10"/>
        <rFont val="Arial"/>
        <family val="2"/>
      </rPr>
      <t>)*(density of water)*(1+ MC/100)</t>
    </r>
  </si>
  <si>
    <t xml:space="preserve">Second Edition.  1989.  University of Iowa Press, Ames, IA.  </t>
  </si>
  <si>
    <t>K1</t>
  </si>
  <si>
    <t>K2</t>
  </si>
  <si>
    <t>K1KH</t>
  </si>
  <si>
    <t>K1K2K2H2</t>
  </si>
  <si>
    <r>
      <t>W = 330 + 0.452T + 0.00415T</t>
    </r>
    <r>
      <rPr>
        <vertAlign val="superscript"/>
        <sz val="8"/>
        <rFont val="Arial"/>
        <family val="2"/>
      </rPr>
      <t>2</t>
    </r>
  </si>
  <si>
    <r>
      <t>K = 0.791 + 0.000463T - 0.000000844T</t>
    </r>
    <r>
      <rPr>
        <vertAlign val="superscript"/>
        <sz val="8"/>
        <rFont val="Arial"/>
        <family val="2"/>
      </rPr>
      <t>2</t>
    </r>
  </si>
  <si>
    <r>
      <t>K</t>
    </r>
    <r>
      <rPr>
        <vertAlign val="subscript"/>
        <sz val="8"/>
        <rFont val="Arial"/>
        <family val="2"/>
      </rPr>
      <t>1</t>
    </r>
    <r>
      <rPr>
        <sz val="8"/>
        <rFont val="Arial"/>
        <family val="2"/>
      </rPr>
      <t xml:space="preserve"> = 6.34 + 0.000775T - 0.0000935T</t>
    </r>
    <r>
      <rPr>
        <vertAlign val="superscript"/>
        <sz val="8"/>
        <rFont val="Arial"/>
        <family val="2"/>
      </rPr>
      <t>2</t>
    </r>
  </si>
  <si>
    <r>
      <t>K</t>
    </r>
    <r>
      <rPr>
        <vertAlign val="subscript"/>
        <sz val="8"/>
        <rFont val="Arial"/>
        <family val="2"/>
      </rPr>
      <t>2</t>
    </r>
    <r>
      <rPr>
        <sz val="8"/>
        <rFont val="Arial"/>
        <family val="2"/>
      </rPr>
      <t xml:space="preserve"> = 1.09 + 0.0284T - 0.0000904T</t>
    </r>
    <r>
      <rPr>
        <vertAlign val="superscript"/>
        <sz val="8"/>
        <rFont val="Arial"/>
        <family val="2"/>
      </rPr>
      <t>2</t>
    </r>
  </si>
  <si>
    <t>H = relative humidity (%)</t>
  </si>
  <si>
    <t>T = temperature (°F)</t>
  </si>
  <si>
    <t>MC = moisture content (%)</t>
  </si>
  <si>
    <r>
      <t xml:space="preserve">Haygreen, J.G. and Bowyer, J.L. 1989. </t>
    </r>
    <r>
      <rPr>
        <i/>
        <sz val="9"/>
        <color indexed="18"/>
        <rFont val="Arial"/>
        <family val="2"/>
      </rPr>
      <t>Forest Products and Wood Science:  An Introduction</t>
    </r>
    <r>
      <rPr>
        <sz val="9"/>
        <color indexed="18"/>
        <rFont val="Arial"/>
        <family val="2"/>
      </rPr>
      <t xml:space="preserve"> - </t>
    </r>
  </si>
  <si>
    <t>[NOTE:  equilibrium moisture content (EMC) is only calculated if MC is left blank]</t>
  </si>
  <si>
    <r>
      <t>a.</t>
    </r>
    <r>
      <rPr>
        <sz val="9"/>
        <rFont val="Arial"/>
        <family val="2"/>
      </rPr>
      <t xml:space="preserve"> Select species from list (user may choose up to 3 species)</t>
    </r>
  </si>
  <si>
    <r>
      <t xml:space="preserve">c. </t>
    </r>
    <r>
      <rPr>
        <sz val="9"/>
        <rFont val="Arial"/>
        <family val="2"/>
      </rPr>
      <t>Select nominal board dimensions to calculate weight of 1 board foot (BF) at 15% MC</t>
    </r>
  </si>
  <si>
    <r>
      <t xml:space="preserve">d. </t>
    </r>
    <r>
      <rPr>
        <sz val="9"/>
        <rFont val="Arial"/>
        <family val="2"/>
      </rPr>
      <t>Select nominal board dimensions to calculate weight of 1 board foot (BF) at 15% MC</t>
    </r>
  </si>
  <si>
    <t>This program contains 3 functional worksheets:</t>
  </si>
  <si>
    <r>
      <t>Mixed grain</t>
    </r>
    <r>
      <rPr>
        <sz val="8"/>
        <rFont val="Arial"/>
        <family val="2"/>
      </rPr>
      <t xml:space="preserve"> includes bastard sawn lumber.  The calculated</t>
    </r>
  </si>
  <si>
    <t xml:space="preserve"> shrink/ swell is the average of quartersawn and flatsawn.</t>
  </si>
  <si>
    <t>ft3/BF</t>
  </si>
  <si>
    <t xml:space="preserve">Weight per board foot (BF) for S-DRY (surfaced dry, 15% MC) lumber is calculated as: </t>
  </si>
  <si>
    <r>
      <t>Density</t>
    </r>
    <r>
      <rPr>
        <vertAlign val="subscript"/>
        <sz val="8"/>
        <rFont val="Arial"/>
        <family val="2"/>
      </rPr>
      <t>15%MC</t>
    </r>
    <r>
      <rPr>
        <sz val="8"/>
        <rFont val="Arial"/>
        <family val="2"/>
      </rPr>
      <t xml:space="preserve"> = density in lbs/ft</t>
    </r>
    <r>
      <rPr>
        <vertAlign val="superscript"/>
        <sz val="8"/>
        <rFont val="Arial"/>
        <family val="2"/>
      </rPr>
      <t>3</t>
    </r>
    <r>
      <rPr>
        <sz val="8"/>
        <rFont val="Arial"/>
        <family val="2"/>
      </rPr>
      <t xml:space="preserve"> at 15% moisture content</t>
    </r>
  </si>
  <si>
    <r>
      <t>Actual ft</t>
    </r>
    <r>
      <rPr>
        <vertAlign val="superscript"/>
        <sz val="8"/>
        <rFont val="Arial"/>
        <family val="2"/>
      </rPr>
      <t>3</t>
    </r>
    <r>
      <rPr>
        <sz val="8"/>
        <rFont val="Arial"/>
        <family val="2"/>
      </rPr>
      <t>/nominal BF = actual cubic feet per nominal board foot, calculated as:</t>
    </r>
  </si>
  <si>
    <r>
      <t>density of water = 62.4 lbs/ft</t>
    </r>
    <r>
      <rPr>
        <vertAlign val="superscript"/>
        <sz val="8"/>
        <rFont val="Arial"/>
        <family val="2"/>
      </rPr>
      <t>3</t>
    </r>
  </si>
  <si>
    <r>
      <t>Weight/BF</t>
    </r>
    <r>
      <rPr>
        <b/>
        <vertAlign val="subscript"/>
        <sz val="10"/>
        <rFont val="Arial"/>
        <family val="2"/>
      </rPr>
      <t>S-DRY</t>
    </r>
    <r>
      <rPr>
        <b/>
        <sz val="10"/>
        <rFont val="Arial"/>
        <family val="2"/>
      </rPr>
      <t xml:space="preserve"> = (Density</t>
    </r>
    <r>
      <rPr>
        <b/>
        <vertAlign val="subscript"/>
        <sz val="10"/>
        <rFont val="Arial"/>
        <family val="2"/>
      </rPr>
      <t>15%MC</t>
    </r>
    <r>
      <rPr>
        <b/>
        <sz val="10"/>
        <rFont val="Arial"/>
        <family val="2"/>
      </rPr>
      <t>)*(actual ft</t>
    </r>
    <r>
      <rPr>
        <b/>
        <vertAlign val="superscript"/>
        <sz val="10"/>
        <rFont val="Arial"/>
        <family val="2"/>
      </rPr>
      <t>3</t>
    </r>
    <r>
      <rPr>
        <b/>
        <sz val="10"/>
        <rFont val="Arial"/>
        <family val="2"/>
      </rPr>
      <t>/nominal BF)</t>
    </r>
  </si>
  <si>
    <t>(actual thickness inches* actual width inches * 1ft length)/144</t>
  </si>
  <si>
    <t>(nominal width * nominal thickness* 1ft length)/12</t>
  </si>
  <si>
    <r>
      <t xml:space="preserve">b. </t>
    </r>
    <r>
      <rPr>
        <sz val="9"/>
        <rFont val="Arial"/>
        <family val="2"/>
      </rPr>
      <t xml:space="preserve">Enter initial moisture content [MC (%)] or temperature and relative humidity [RH (%)] </t>
    </r>
  </si>
  <si>
    <r>
      <t xml:space="preserve">c. </t>
    </r>
    <r>
      <rPr>
        <sz val="9"/>
        <rFont val="Arial"/>
        <family val="2"/>
      </rPr>
      <t xml:space="preserve">Enter final moisture content [MC (%)] or temperature and relative humidity [RH (%)] </t>
    </r>
  </si>
  <si>
    <r>
      <t xml:space="preserve">d. </t>
    </r>
    <r>
      <rPr>
        <sz val="9"/>
        <rFont val="Arial"/>
        <family val="2"/>
      </rPr>
      <t>Enter thickness and width (inches or millimeters)</t>
    </r>
  </si>
  <si>
    <t>MC and RH must be in percent (for example, 80 not 0.80)</t>
  </si>
  <si>
    <r>
      <t xml:space="preserve">b. </t>
    </r>
    <r>
      <rPr>
        <sz val="9"/>
        <rFont val="Arial"/>
        <family val="2"/>
      </rPr>
      <t>Enter relative humidity [RH (%)] in percent</t>
    </r>
  </si>
  <si>
    <t>Table 1.  Green specific gravity known</t>
  </si>
  <si>
    <t>Table 2.  Dry specific gravity known</t>
  </si>
  <si>
    <t xml:space="preserve">   EMC =</t>
  </si>
  <si>
    <r>
      <t xml:space="preserve">   W     1-KH    (1 + K</t>
    </r>
    <r>
      <rPr>
        <b/>
        <vertAlign val="subscript"/>
        <sz val="10"/>
        <rFont val="Arial"/>
        <family val="2"/>
      </rPr>
      <t>1</t>
    </r>
    <r>
      <rPr>
        <b/>
        <sz val="10"/>
        <rFont val="Arial"/>
        <family val="2"/>
      </rPr>
      <t>KH + K</t>
    </r>
    <r>
      <rPr>
        <b/>
        <vertAlign val="subscript"/>
        <sz val="10"/>
        <rFont val="Arial"/>
        <family val="2"/>
      </rPr>
      <t>1</t>
    </r>
    <r>
      <rPr>
        <b/>
        <sz val="10"/>
        <rFont val="Arial"/>
        <family val="2"/>
      </rPr>
      <t>K</t>
    </r>
    <r>
      <rPr>
        <b/>
        <vertAlign val="subscript"/>
        <sz val="10"/>
        <rFont val="Arial"/>
        <family val="2"/>
      </rPr>
      <t>2</t>
    </r>
    <r>
      <rPr>
        <b/>
        <sz val="10"/>
        <rFont val="Arial"/>
        <family val="2"/>
      </rPr>
      <t>K</t>
    </r>
    <r>
      <rPr>
        <b/>
        <vertAlign val="superscript"/>
        <sz val="10"/>
        <rFont val="Arial"/>
        <family val="2"/>
      </rPr>
      <t>2</t>
    </r>
    <r>
      <rPr>
        <b/>
        <sz val="10"/>
        <rFont val="Arial"/>
        <family val="2"/>
      </rPr>
      <t>H</t>
    </r>
    <r>
      <rPr>
        <b/>
        <vertAlign val="superscript"/>
        <sz val="10"/>
        <rFont val="Arial"/>
        <family val="2"/>
      </rPr>
      <t>2</t>
    </r>
    <r>
      <rPr>
        <b/>
        <sz val="10"/>
        <rFont val="Arial"/>
        <family val="2"/>
      </rPr>
      <t>)</t>
    </r>
  </si>
  <si>
    <r>
      <t xml:space="preserve"> </t>
    </r>
    <r>
      <rPr>
        <b/>
        <u val="single"/>
        <sz val="10"/>
        <rFont val="Arial"/>
        <family val="2"/>
      </rPr>
      <t>1800</t>
    </r>
    <r>
      <rPr>
        <b/>
        <sz val="10"/>
        <rFont val="Arial"/>
        <family val="2"/>
      </rPr>
      <t xml:space="preserve">  </t>
    </r>
    <r>
      <rPr>
        <b/>
        <u val="single"/>
        <sz val="10"/>
        <rFont val="Arial"/>
        <family val="2"/>
      </rPr>
      <t xml:space="preserve">  KH </t>
    </r>
    <r>
      <rPr>
        <b/>
        <sz val="10"/>
        <rFont val="Arial"/>
        <family val="2"/>
      </rPr>
      <t xml:space="preserve"> +  </t>
    </r>
    <r>
      <rPr>
        <b/>
        <u val="single"/>
        <sz val="10"/>
        <rFont val="Arial"/>
        <family val="2"/>
      </rPr>
      <t>(K</t>
    </r>
    <r>
      <rPr>
        <b/>
        <u val="single"/>
        <vertAlign val="subscript"/>
        <sz val="10"/>
        <rFont val="Arial"/>
        <family val="2"/>
      </rPr>
      <t>1</t>
    </r>
    <r>
      <rPr>
        <b/>
        <u val="single"/>
        <sz val="10"/>
        <rFont val="Arial"/>
        <family val="2"/>
      </rPr>
      <t>KH + 2K</t>
    </r>
    <r>
      <rPr>
        <b/>
        <u val="single"/>
        <vertAlign val="subscript"/>
        <sz val="10"/>
        <rFont val="Arial"/>
        <family val="2"/>
      </rPr>
      <t>1</t>
    </r>
    <r>
      <rPr>
        <b/>
        <u val="single"/>
        <sz val="10"/>
        <rFont val="Arial"/>
        <family val="2"/>
      </rPr>
      <t>K</t>
    </r>
    <r>
      <rPr>
        <b/>
        <u val="single"/>
        <vertAlign val="subscript"/>
        <sz val="10"/>
        <rFont val="Arial"/>
        <family val="2"/>
      </rPr>
      <t>2</t>
    </r>
    <r>
      <rPr>
        <b/>
        <u val="single"/>
        <sz val="10"/>
        <rFont val="Arial"/>
        <family val="2"/>
      </rPr>
      <t>K</t>
    </r>
    <r>
      <rPr>
        <b/>
        <u val="single"/>
        <vertAlign val="superscript"/>
        <sz val="10"/>
        <rFont val="Arial"/>
        <family val="2"/>
      </rPr>
      <t>2</t>
    </r>
    <r>
      <rPr>
        <b/>
        <u val="single"/>
        <sz val="10"/>
        <rFont val="Arial"/>
        <family val="2"/>
      </rPr>
      <t>H</t>
    </r>
    <r>
      <rPr>
        <b/>
        <u val="single"/>
        <vertAlign val="superscript"/>
        <sz val="10"/>
        <rFont val="Arial"/>
        <family val="2"/>
      </rPr>
      <t>2</t>
    </r>
    <r>
      <rPr>
        <b/>
        <u val="single"/>
        <sz val="10"/>
        <rFont val="Arial"/>
        <family val="2"/>
      </rPr>
      <t xml:space="preserve">)  </t>
    </r>
  </si>
  <si>
    <r>
      <t>a.</t>
    </r>
    <r>
      <rPr>
        <sz val="9"/>
        <rFont val="Arial"/>
        <family val="2"/>
      </rPr>
      <t xml:space="preserve"> Enter temperature in either Fahrenheit or Celsius.  If in Celsius, check the box above "Temp."</t>
    </r>
  </si>
  <si>
    <t>new species7</t>
  </si>
  <si>
    <t>new species8</t>
  </si>
  <si>
    <t>new species9</t>
  </si>
  <si>
    <t>new species10</t>
  </si>
  <si>
    <t>Approximate</t>
  </si>
  <si>
    <t>Green weight</t>
  </si>
  <si>
    <t>Ovendry weight</t>
  </si>
  <si>
    <t>Wood Moisture Content =</t>
  </si>
  <si>
    <t>Scott Leavengood</t>
  </si>
  <si>
    <t>Wood Products Extension Agent</t>
  </si>
  <si>
    <t xml:space="preserve">Many of us have experienced dresser drawers that stick during certain times of the year, whereas the same drawers slide smoothly at other times of the year.  Furniture makers and other woodworkers find that a sufficiently tight joint made using wood that is "too wet" results in an open and unsightly joint after the wood dries.  Even simply moving wood products from one location to another can cause problems.  For example, face veneers on plywood made in the dry climate of eastern Oregon may swell and buckle when they reach the more hot and humid climate of the U.S. Southeast.  All of these problems are symptoms of wood's love for moisture.  See OSU Extension publication EM8600- Wood and Moisture Relationships for more information on wood and water.      </t>
  </si>
  <si>
    <t xml:space="preserve">Lumber sawn fresh from a log is known as "green" and is usually saturated with moisture from the living tree.  Green lumber loses moisture until it comes into equilibrium with its surroundings.  In addition to the moisture loss from the green state, wood also undergoes constant changes in moisture content while in service as a result of fluctuations in temperature and relative humidity. </t>
  </si>
  <si>
    <t xml:space="preserve">When wood gains moisture it swells and when wood loses moisture it shrinks.  The problem for the woodworker is knowing how much a certain piece will shrink or swell based on wood species, environmental conditions, grain orientation (see Figure 1), and piece size.       </t>
  </si>
  <si>
    <t xml:space="preserve"> </t>
  </si>
  <si>
    <t>species (choice of one of 42 North American softwoods, and 61 North American hardwoods)</t>
  </si>
  <si>
    <t xml:space="preserve">board or veneer width and thickness </t>
  </si>
  <si>
    <t>grain orientation - flatsawn (works also for rotary peeled or plain-sliced), quartersawn (or quarter-sliced), or mixed grain.</t>
  </si>
  <si>
    <t>The program calculates the dimensional change and the final board size (based on the size of the board the user entered).</t>
  </si>
  <si>
    <t>An Example</t>
  </si>
  <si>
    <t>Consider the following example:</t>
  </si>
  <si>
    <t>What will happen to the wood?  Will it shrink, swell, or stay the same size?  If it changes in size, approximately how much will it change?  Will all the species shrink or swell by the same amount?</t>
  </si>
  <si>
    <t>Enter the thickness and width in the appropriate column.  For this example, enter 0.75 for thickness and 5.5 for width for all 3 species.</t>
  </si>
  <si>
    <t>The program calculates the approximate dimensional change in thickness and width and reports the estimated final piece size.  The values reported are:</t>
  </si>
  <si>
    <t>To calculate total shrinkage across the width of the wall, multiply the number of pieces by the shrinkage per piece.  Therefore, total shrinkage for 44 pieces will be:</t>
  </si>
  <si>
    <t xml:space="preserve">To get an idea of the magnitude of difference between wood species, try running the program again except this time choose a dense hardwood like hickory or Pacific madrone.  </t>
  </si>
  <si>
    <t xml:space="preserve">  </t>
  </si>
  <si>
    <t xml:space="preserve">Across the width of a 20 ft. wide wall, the paneling will shrink nearly 5½ inches.  Remember, these numbers are estimates.  </t>
  </si>
  <si>
    <t>Therefore, ponderosa pine will shrink the most in width at 0.123 inches or a little under 1/8 inches.  This shrinkage is due solely to moving the lumber, initially at 19 percent MC, to drier conditions indoors.  For this example, paneling a 20 ft. (240 inches) wide wall with 5½-inch material will require:</t>
  </si>
  <si>
    <r>
      <t xml:space="preserve">Wood.xls uses published formulas (see </t>
    </r>
    <r>
      <rPr>
        <b/>
        <sz val="10"/>
        <color indexed="18"/>
        <rFont val="Arial"/>
        <family val="2"/>
      </rPr>
      <t>Formulas</t>
    </r>
    <r>
      <rPr>
        <sz val="10"/>
        <rFont val="Arial"/>
        <family val="0"/>
      </rPr>
      <t xml:space="preserve"> worksheet) and dimensional change coefficients to calculate the thickness and width change of wood based on changes in moisture content.  The user selects:</t>
    </r>
  </si>
  <si>
    <r>
      <t xml:space="preserve">In addition to the </t>
    </r>
    <r>
      <rPr>
        <b/>
        <sz val="10"/>
        <color indexed="18"/>
        <rFont val="Arial"/>
        <family val="2"/>
      </rPr>
      <t>Dimensional Change</t>
    </r>
    <r>
      <rPr>
        <sz val="10"/>
        <rFont val="Arial"/>
        <family val="0"/>
      </rPr>
      <t xml:space="preserve"> worksheet, Wood.xls has 2 other functional worksheets - </t>
    </r>
    <r>
      <rPr>
        <b/>
        <sz val="10"/>
        <color indexed="18"/>
        <rFont val="Arial"/>
        <family val="2"/>
      </rPr>
      <t>EMC</t>
    </r>
    <r>
      <rPr>
        <sz val="10"/>
        <rFont val="Arial"/>
        <family val="0"/>
      </rPr>
      <t xml:space="preserve"> (equilibrium moisture content) and </t>
    </r>
    <r>
      <rPr>
        <b/>
        <sz val="10"/>
        <color indexed="18"/>
        <rFont val="Arial"/>
        <family val="2"/>
      </rPr>
      <t>SG &amp; Density</t>
    </r>
    <r>
      <rPr>
        <sz val="10"/>
        <rFont val="Arial"/>
        <family val="0"/>
      </rPr>
      <t xml:space="preserve"> (specific gravity and density).</t>
    </r>
  </si>
  <si>
    <r>
      <t>EMC</t>
    </r>
    <r>
      <rPr>
        <sz val="10"/>
        <rFont val="Arial"/>
        <family val="0"/>
      </rPr>
      <t xml:space="preserve"> calculates the equilibrium moisture content for wood given the ambient temperature and relative humidity.  This worksheet is used by the </t>
    </r>
    <r>
      <rPr>
        <b/>
        <sz val="10"/>
        <color indexed="18"/>
        <rFont val="Arial"/>
        <family val="2"/>
      </rPr>
      <t>Dimensional Change</t>
    </r>
    <r>
      <rPr>
        <sz val="10"/>
        <rFont val="Arial"/>
        <family val="0"/>
      </rPr>
      <t xml:space="preserve"> worksheet to estimate initial and/or final moisture content conditions.  This worksheet also has a function to calculate moisture content given green weight and ovendry weight.</t>
    </r>
  </si>
  <si>
    <r>
      <t xml:space="preserve">How to Use </t>
    </r>
    <r>
      <rPr>
        <b/>
        <i/>
        <sz val="12"/>
        <rFont val="Arial"/>
        <family val="2"/>
      </rPr>
      <t>Wood.xls</t>
    </r>
  </si>
  <si>
    <t xml:space="preserve">Let's say you plan to panel a 20 foot wide interior wall of your home with flatsawn 1x6 (actual size 3/4 inches x 5½ inches) tongue-and-groove paneling.  The local home center has incense-cedar, redwood (young-growth), and ponderosa pine, all at 19 percent moisture content.  You plan to purchase the wood and install it immediately.  Let's say the temperature inside is kept relatively constant at 72° F and the relative humidity is approximately 45 percent. </t>
  </si>
  <si>
    <r>
      <t xml:space="preserve">To complete this sample exercise, start Microsoft Excel and open </t>
    </r>
    <r>
      <rPr>
        <i/>
        <sz val="10"/>
        <rFont val="Arial"/>
        <family val="2"/>
      </rPr>
      <t>Wood.xls</t>
    </r>
    <r>
      <rPr>
        <sz val="10"/>
        <rFont val="Arial"/>
        <family val="0"/>
      </rPr>
      <t xml:space="preserve">.  Click on the </t>
    </r>
    <r>
      <rPr>
        <b/>
        <sz val="10"/>
        <color indexed="18"/>
        <rFont val="Arial"/>
        <family val="2"/>
      </rPr>
      <t>Dimensional Change</t>
    </r>
    <r>
      <rPr>
        <sz val="10"/>
        <rFont val="Arial"/>
        <family val="0"/>
      </rPr>
      <t xml:space="preserve"> worksheet tab.  </t>
    </r>
  </si>
  <si>
    <r>
      <t xml:space="preserve">Click on the species selection box and choose </t>
    </r>
    <r>
      <rPr>
        <i/>
        <sz val="10"/>
        <rFont val="Arial"/>
        <family val="2"/>
      </rPr>
      <t>cedar, incense</t>
    </r>
    <r>
      <rPr>
        <sz val="10"/>
        <rFont val="Arial"/>
        <family val="0"/>
      </rPr>
      <t xml:space="preserve">- for species 1, </t>
    </r>
    <r>
      <rPr>
        <i/>
        <sz val="10"/>
        <rFont val="Arial"/>
        <family val="2"/>
      </rPr>
      <t>redwood, young-growth</t>
    </r>
    <r>
      <rPr>
        <sz val="10"/>
        <rFont val="Arial"/>
        <family val="0"/>
      </rPr>
      <t xml:space="preserve"> for species 2, and </t>
    </r>
    <r>
      <rPr>
        <i/>
        <sz val="10"/>
        <rFont val="Arial"/>
        <family val="2"/>
      </rPr>
      <t>pine, ponderosa</t>
    </r>
    <r>
      <rPr>
        <sz val="10"/>
        <rFont val="Arial"/>
        <family val="0"/>
      </rPr>
      <t xml:space="preserve"> for species 3.  </t>
    </r>
  </si>
  <si>
    <r>
      <t xml:space="preserve">For the initial conditions, enter </t>
    </r>
    <r>
      <rPr>
        <i/>
        <sz val="10"/>
        <rFont val="Arial"/>
        <family val="2"/>
      </rPr>
      <t>19</t>
    </r>
    <r>
      <rPr>
        <sz val="10"/>
        <rFont val="Arial"/>
        <family val="0"/>
      </rPr>
      <t xml:space="preserve"> in the </t>
    </r>
    <r>
      <rPr>
        <b/>
        <sz val="10"/>
        <rFont val="Arial"/>
        <family val="2"/>
      </rPr>
      <t>MC (%)</t>
    </r>
    <r>
      <rPr>
        <sz val="10"/>
        <rFont val="Arial"/>
        <family val="0"/>
      </rPr>
      <t xml:space="preserve"> column.  Note:  If only the initial temperature and humidity conditions are known, you would enter those values instead and leave the MC (%) column blank.</t>
    </r>
  </si>
  <si>
    <r>
      <t xml:space="preserve">For the final conditions, enter </t>
    </r>
    <r>
      <rPr>
        <i/>
        <sz val="10"/>
        <rFont val="Arial"/>
        <family val="2"/>
      </rPr>
      <t>72</t>
    </r>
    <r>
      <rPr>
        <sz val="10"/>
        <rFont val="Arial"/>
        <family val="0"/>
      </rPr>
      <t xml:space="preserve"> in the </t>
    </r>
    <r>
      <rPr>
        <b/>
        <sz val="10"/>
        <rFont val="Arial"/>
        <family val="2"/>
      </rPr>
      <t>Temp</t>
    </r>
    <r>
      <rPr>
        <sz val="10"/>
        <rFont val="Arial"/>
        <family val="0"/>
      </rPr>
      <t xml:space="preserve"> column and </t>
    </r>
    <r>
      <rPr>
        <i/>
        <sz val="10"/>
        <rFont val="Arial"/>
        <family val="2"/>
      </rPr>
      <t>45</t>
    </r>
    <r>
      <rPr>
        <sz val="10"/>
        <rFont val="Arial"/>
        <family val="0"/>
      </rPr>
      <t xml:space="preserve"> in the </t>
    </r>
    <r>
      <rPr>
        <b/>
        <sz val="10"/>
        <rFont val="Arial"/>
        <family val="2"/>
      </rPr>
      <t>RH (%)</t>
    </r>
    <r>
      <rPr>
        <sz val="10"/>
        <rFont val="Arial"/>
        <family val="0"/>
      </rPr>
      <t xml:space="preserve"> column.  For this example, we will leave the MC (%) column blank as the final moisture content is not known.  The program will estimate final moisture content for you given ambient temperature and humidity. </t>
    </r>
  </si>
  <si>
    <r>
      <t xml:space="preserve">The program calculates the change in moisture content and reports this value in the </t>
    </r>
    <r>
      <rPr>
        <b/>
        <sz val="10"/>
        <rFont val="Arial"/>
        <family val="2"/>
      </rPr>
      <t>Change in MC</t>
    </r>
    <r>
      <rPr>
        <sz val="10"/>
        <rFont val="Arial"/>
        <family val="0"/>
      </rPr>
      <t xml:space="preserve"> column.  For this example, the change in MC is 10.565 percent.   </t>
    </r>
  </si>
  <si>
    <r>
      <t xml:space="preserve">In the </t>
    </r>
    <r>
      <rPr>
        <b/>
        <sz val="10"/>
        <rFont val="Arial"/>
        <family val="2"/>
      </rPr>
      <t>Grain Orientation</t>
    </r>
    <r>
      <rPr>
        <sz val="10"/>
        <rFont val="Arial"/>
        <family val="0"/>
      </rPr>
      <t xml:space="preserve"> column, select flatsawn for all 3 species.  </t>
    </r>
  </si>
  <si>
    <t xml:space="preserve">Does this mean you'll have a 5½-inch gap at one end of the wall?  Because of the way the paneling is installed (glued and/or nailed to the wall), its shrinkage in width will be restrained.  What this number tells you is how much the paneling might move if it were unrestrained, and therefore you have a relative idea of how much stress is in the boards as their movement is restrained.  The more likely occurrence in this example will be splitting around nail holes, buckling of individual pieces, or the opening of gaps between adjacent boards.  </t>
  </si>
  <si>
    <t xml:space="preserve">240 ÷ 5½ = approx. 44 pieces </t>
  </si>
  <si>
    <t>44 x 0.123 = approx. 5½ inches</t>
  </si>
  <si>
    <t xml:space="preserve">             flatsawn, plainsawn              quartersawn, edge-grained,                bastard sawn</t>
  </si>
  <si>
    <t xml:space="preserve">                                                                      vertical grain (VG)</t>
  </si>
  <si>
    <t>Figure 1.  Grain orientation</t>
  </si>
  <si>
    <r>
      <t xml:space="preserve">moisture conditions </t>
    </r>
    <r>
      <rPr>
        <sz val="9"/>
        <rFont val="Arial"/>
        <family val="2"/>
      </rPr>
      <t>(initial and final moisture content, if known, or ambient temperature and relative humidity)</t>
    </r>
  </si>
  <si>
    <r>
      <t>SG</t>
    </r>
    <r>
      <rPr>
        <b/>
        <vertAlign val="subscript"/>
        <sz val="8"/>
        <rFont val="Arial"/>
        <family val="2"/>
      </rPr>
      <t>GRN</t>
    </r>
  </si>
  <si>
    <r>
      <t>SG</t>
    </r>
    <r>
      <rPr>
        <b/>
        <vertAlign val="subscript"/>
        <sz val="8"/>
        <rFont val="Arial"/>
        <family val="2"/>
      </rPr>
      <t>12</t>
    </r>
  </si>
  <si>
    <t>SG grn</t>
  </si>
  <si>
    <t>SG 12</t>
  </si>
  <si>
    <t>% Shrinkage</t>
  </si>
  <si>
    <r>
      <t xml:space="preserve">USDA Forest Service, Forest Products Laboratory, Madison, WI, </t>
    </r>
    <r>
      <rPr>
        <sz val="8"/>
        <rFont val="Arial"/>
        <family val="2"/>
      </rPr>
      <t>and</t>
    </r>
  </si>
  <si>
    <t>Density due to Water</t>
  </si>
  <si>
    <t>The program calculates specific gravity (SG) at user-selected moisture content, density, ovendry density,</t>
  </si>
  <si>
    <r>
      <t xml:space="preserve">a. </t>
    </r>
    <r>
      <rPr>
        <sz val="9"/>
        <rFont val="Arial"/>
        <family val="2"/>
      </rPr>
      <t>Select species or enter green specific gravity (SG</t>
    </r>
    <r>
      <rPr>
        <vertAlign val="subscript"/>
        <sz val="9"/>
        <rFont val="Arial"/>
        <family val="2"/>
      </rPr>
      <t>GRN</t>
    </r>
    <r>
      <rPr>
        <sz val="9"/>
        <rFont val="Arial"/>
        <family val="2"/>
      </rPr>
      <t xml:space="preserve">) </t>
    </r>
  </si>
  <si>
    <r>
      <t xml:space="preserve">b. </t>
    </r>
    <r>
      <rPr>
        <sz val="9"/>
        <rFont val="Arial"/>
        <family val="2"/>
      </rPr>
      <t>Select species or enter percent volumetric shrinkage</t>
    </r>
  </si>
  <si>
    <r>
      <t xml:space="preserve">a. </t>
    </r>
    <r>
      <rPr>
        <sz val="9"/>
        <rFont val="Arial"/>
        <family val="2"/>
      </rPr>
      <t>Select species or enter dry specific gravity (SG</t>
    </r>
    <r>
      <rPr>
        <vertAlign val="subscript"/>
        <sz val="9"/>
        <rFont val="Arial"/>
        <family val="2"/>
      </rPr>
      <t>12</t>
    </r>
    <r>
      <rPr>
        <sz val="9"/>
        <rFont val="Arial"/>
        <family val="2"/>
      </rPr>
      <t>)</t>
    </r>
  </si>
  <si>
    <t xml:space="preserve">interest from the drop-down boxes, or enter the values in the spaces provided.  </t>
  </si>
  <si>
    <t xml:space="preserve">density due to water, and weight per board foot at 15% MC.  The user may either select the species of </t>
  </si>
  <si>
    <r>
      <t xml:space="preserve">Table values from the </t>
    </r>
    <r>
      <rPr>
        <b/>
        <i/>
        <sz val="8"/>
        <color indexed="8"/>
        <rFont val="Arial"/>
        <family val="2"/>
      </rPr>
      <t>Wood Handbook:  Wood as an Engineering Material</t>
    </r>
    <r>
      <rPr>
        <b/>
        <sz val="8"/>
        <color indexed="8"/>
        <rFont val="Arial"/>
        <family val="2"/>
      </rPr>
      <t xml:space="preserve">. 1999.  </t>
    </r>
  </si>
  <si>
    <t>Forest Products Society, Madison, WI,</t>
  </si>
  <si>
    <r>
      <t xml:space="preserve">Formulas from the </t>
    </r>
    <r>
      <rPr>
        <i/>
        <sz val="9"/>
        <color indexed="18"/>
        <rFont val="Arial"/>
        <family val="2"/>
      </rPr>
      <t>Wood Handbook:  Wood as an Engineering Material</t>
    </r>
    <r>
      <rPr>
        <sz val="9"/>
        <color indexed="18"/>
        <rFont val="Arial"/>
        <family val="2"/>
      </rPr>
      <t xml:space="preserve">. 1999.  Forest Products Society,  </t>
    </r>
  </si>
  <si>
    <t>Madison, WI</t>
  </si>
  <si>
    <t>available to the user as a reference.</t>
  </si>
  <si>
    <t xml:space="preserve">Cells H113 and I113 are for reference only and may be left blank (the values are not used by the </t>
  </si>
  <si>
    <t xml:space="preserve">program).  Arrow right to cell J113 and enter the specific gravity green.  Arrow right to cell K113 and enter </t>
  </si>
  <si>
    <t>the specific gravity at 12% moisture content.</t>
  </si>
  <si>
    <r>
      <t xml:space="preserve">and specific gravity values may be found in textbooks, wood software (for example, </t>
    </r>
    <r>
      <rPr>
        <i/>
        <sz val="9"/>
        <rFont val="Arial"/>
        <family val="2"/>
      </rPr>
      <t xml:space="preserve">Woods of the World </t>
    </r>
    <r>
      <rPr>
        <sz val="9"/>
        <rFont val="Arial"/>
        <family val="2"/>
      </rPr>
      <t xml:space="preserve"> </t>
    </r>
  </si>
  <si>
    <r>
      <t xml:space="preserve">CD-ROM) or other such sources.  To add a species, click on the tab for the </t>
    </r>
    <r>
      <rPr>
        <b/>
        <sz val="9"/>
        <color indexed="62"/>
        <rFont val="Arial"/>
        <family val="2"/>
      </rPr>
      <t>%Shrinkage &amp; SG</t>
    </r>
    <r>
      <rPr>
        <sz val="9"/>
        <rFont val="Arial"/>
        <family val="2"/>
      </rPr>
      <t xml:space="preserve"> worksheet.</t>
    </r>
  </si>
  <si>
    <t xml:space="preserve">Scroll down the list to find the entry in column B, "new species1."  Move the cursor to cell B113 and type  </t>
  </si>
  <si>
    <t xml:space="preserve">The user may add up to 10 new species.  The dimensional change coefficients, percent shrinkage values, </t>
  </si>
  <si>
    <t xml:space="preserve">the new name.  Press the arrow right key on the keyboard and enter the percentage shrinkage from green </t>
  </si>
  <si>
    <t>to ovendry in the radial direction (cell C113).  Arrow right and enter percent shrinkage in the tangential</t>
  </si>
  <si>
    <t>direction (cell D113).  Arrow right and enter the coefficient of dimensional change in the radial direction</t>
  </si>
  <si>
    <t xml:space="preserve">(cell E113).  Arrow right and enter the coefficient of dimensional change in the tangential direction (cell </t>
  </si>
  <si>
    <t>F113).  Arrow right and enter the percent volumetric shrinkage from green to ovendry (cell G113).</t>
  </si>
  <si>
    <r>
      <t xml:space="preserve">The worksheets </t>
    </r>
    <r>
      <rPr>
        <b/>
        <sz val="9"/>
        <color indexed="18"/>
        <rFont val="Arial"/>
        <family val="2"/>
      </rPr>
      <t>cuft per BF</t>
    </r>
    <r>
      <rPr>
        <sz val="9"/>
        <rFont val="Arial"/>
        <family val="2"/>
      </rPr>
      <t xml:space="preserve">, </t>
    </r>
    <r>
      <rPr>
        <b/>
        <sz val="9"/>
        <color indexed="18"/>
        <rFont val="Arial"/>
        <family val="2"/>
      </rPr>
      <t>%Shrinkage &amp; SG</t>
    </r>
    <r>
      <rPr>
        <sz val="9"/>
        <rFont val="Arial"/>
        <family val="2"/>
      </rPr>
      <t>, and</t>
    </r>
    <r>
      <rPr>
        <b/>
        <sz val="9"/>
        <color indexed="18"/>
        <rFont val="Arial"/>
        <family val="2"/>
      </rPr>
      <t xml:space="preserve"> Formulas</t>
    </r>
    <r>
      <rPr>
        <sz val="9"/>
        <rFont val="Arial"/>
        <family val="2"/>
      </rPr>
      <t xml:space="preserve"> are used by the program and are </t>
    </r>
  </si>
  <si>
    <t xml:space="preserve">by sending e-mail to Scott.Leavengood@orst.edu. </t>
  </si>
  <si>
    <r>
      <t>SG &amp; Density</t>
    </r>
    <r>
      <rPr>
        <sz val="10"/>
        <rFont val="Arial"/>
        <family val="0"/>
      </rPr>
      <t xml:space="preserve"> calculates specific gravity (SG) at user-defined moisture contents given SG green and volumetric shrinkage.  The user may select a species from the drop-down lists or enter values in the spaces provided.  The program calculates density, ovendry density of the wood, weight per board foot at 15 percent moisture content and the weight of the water in the wood at the specified moisture content.  The terms density and SG are often used interchangeably, however these terms have different meanings.  Density is the weight per unit volume (e.g., lbs/ft</t>
    </r>
    <r>
      <rPr>
        <vertAlign val="superscript"/>
        <sz val="10"/>
        <rFont val="Arial"/>
        <family val="2"/>
      </rPr>
      <t>3</t>
    </r>
    <r>
      <rPr>
        <sz val="10"/>
        <rFont val="Arial"/>
        <family val="0"/>
      </rPr>
      <t xml:space="preserve"> or kg/m</t>
    </r>
    <r>
      <rPr>
        <vertAlign val="superscript"/>
        <sz val="10"/>
        <rFont val="Arial"/>
        <family val="2"/>
      </rPr>
      <t>3</t>
    </r>
    <r>
      <rPr>
        <sz val="10"/>
        <rFont val="Arial"/>
        <family val="0"/>
      </rPr>
      <t xml:space="preserve">) whereas SG is the ratio of the density of a material to the density of water and is unitless.  Wood is unique in that its weight and volume change as it gains and loses moisture.  Therefore, its SG also changes.  This issue is often confusing for people wanting to estimate weight given SG.  This worksheet helps to simplify the process of estimating weight of wood at varying moisture contents.  For more information on specific gravity and other topics in wood technology, please see:                                                                         </t>
    </r>
  </si>
  <si>
    <t>The Nature of Wood and Wood Products CD-ROM</t>
  </si>
  <si>
    <t>1998.  Regents of the University of Minnesota.  Available from the Forest Products Society, Madison, WI. (608) 231-2152.</t>
  </si>
  <si>
    <t>This worksheet also calculates moisture content given green weight and ovendry weight.</t>
  </si>
  <si>
    <t xml:space="preserve">Calculates equilibrium moisture content (EMC) given temperature and relative humidity.  </t>
  </si>
  <si>
    <t>Enter green weight and ovendry weight</t>
  </si>
  <si>
    <t>to calculate moisture content</t>
  </si>
  <si>
    <t xml:space="preserve">Enter temperature and relative humidity to </t>
  </si>
  <si>
    <t>calculate equilibrium moisture content (EMC)</t>
  </si>
  <si>
    <t>120-180</t>
  </si>
  <si>
    <t>Kininmonth, J.A. and L.J. Whitehouse.  Properties and Uses of New Zealand Radiata Pine. 1991. Forest Research Institute, Rotorua, NZ.</t>
  </si>
  <si>
    <t xml:space="preserve">To add more than 10 new species, the user may contact the author for assistance at (503) 725-2123 or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</si>
</sst>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0.0"/>
  </numFmts>
  <fonts count="68">
    <font>
      <sz val="10"/>
      <name val="Arial"/>
      <family val="0"/>
    </font>
    <font>
      <b/>
      <sz val="8"/>
      <name val="Arial"/>
      <family val="2"/>
    </font>
    <font>
      <b/>
      <sz val="10"/>
      <name val="Arial"/>
      <family val="2"/>
    </font>
    <font>
      <b/>
      <vertAlign val="subscript"/>
      <sz val="10"/>
      <name val="Arial"/>
      <family val="2"/>
    </font>
    <font>
      <b/>
      <vertAlign val="superscript"/>
      <sz val="10"/>
      <name val="Arial"/>
      <family val="2"/>
    </font>
    <font>
      <sz val="8"/>
      <color indexed="10"/>
      <name val="Arial"/>
      <family val="2"/>
    </font>
    <font>
      <sz val="8"/>
      <name val="Tahoma"/>
      <family val="2"/>
    </font>
    <font>
      <sz val="10"/>
      <color indexed="9"/>
      <name val="Arial"/>
      <family val="2"/>
    </font>
    <font>
      <sz val="8"/>
      <name val="Arial"/>
      <family val="2"/>
    </font>
    <font>
      <sz val="9"/>
      <name val="Arial"/>
      <family val="2"/>
    </font>
    <font>
      <b/>
      <sz val="9"/>
      <name val="Arial"/>
      <family val="2"/>
    </font>
    <font>
      <b/>
      <vertAlign val="subscript"/>
      <sz val="9"/>
      <name val="Arial"/>
      <family val="2"/>
    </font>
    <font>
      <sz val="8"/>
      <color indexed="9"/>
      <name val="Arial"/>
      <family val="2"/>
    </font>
    <font>
      <b/>
      <sz val="8"/>
      <color indexed="10"/>
      <name val="Arial"/>
      <family val="2"/>
    </font>
    <font>
      <sz val="8"/>
      <color indexed="12"/>
      <name val="Arial"/>
      <family val="2"/>
    </font>
    <font>
      <b/>
      <sz val="8"/>
      <name val="Tahoma"/>
      <family val="0"/>
    </font>
    <font>
      <b/>
      <u val="double"/>
      <sz val="11"/>
      <color indexed="16"/>
      <name val="Albertus Medium"/>
      <family val="2"/>
    </font>
    <font>
      <b/>
      <sz val="12"/>
      <name val="Times New Roman"/>
      <family val="1"/>
    </font>
    <font>
      <b/>
      <sz val="8"/>
      <color indexed="8"/>
      <name val="Arial"/>
      <family val="2"/>
    </font>
    <font>
      <sz val="8"/>
      <color indexed="58"/>
      <name val="Arial"/>
      <family val="2"/>
    </font>
    <font>
      <b/>
      <sz val="11"/>
      <name val="Times New Roman"/>
      <family val="1"/>
    </font>
    <font>
      <b/>
      <i/>
      <sz val="8"/>
      <color indexed="8"/>
      <name val="Arial"/>
      <family val="2"/>
    </font>
    <font>
      <b/>
      <i/>
      <sz val="8"/>
      <name val="Arial"/>
      <family val="2"/>
    </font>
    <font>
      <b/>
      <sz val="10"/>
      <color indexed="18"/>
      <name val="Arial"/>
      <family val="2"/>
    </font>
    <font>
      <b/>
      <i/>
      <sz val="10"/>
      <color indexed="17"/>
      <name val="Arial"/>
      <family val="2"/>
    </font>
    <font>
      <b/>
      <sz val="12"/>
      <color indexed="17"/>
      <name val="Times New Roman"/>
      <family val="1"/>
    </font>
    <font>
      <b/>
      <sz val="9"/>
      <color indexed="18"/>
      <name val="Arial"/>
      <family val="2"/>
    </font>
    <font>
      <sz val="9"/>
      <color indexed="10"/>
      <name val="Arial"/>
      <family val="2"/>
    </font>
    <font>
      <sz val="9"/>
      <color indexed="18"/>
      <name val="Arial"/>
      <family val="2"/>
    </font>
    <font>
      <i/>
      <sz val="9"/>
      <name val="Arial"/>
      <family val="2"/>
    </font>
    <font>
      <vertAlign val="subscript"/>
      <sz val="9"/>
      <name val="Arial"/>
      <family val="2"/>
    </font>
    <font>
      <vertAlign val="subscript"/>
      <sz val="8"/>
      <name val="Arial"/>
      <family val="2"/>
    </font>
    <font>
      <sz val="9"/>
      <color indexed="9"/>
      <name val="Arial"/>
      <family val="2"/>
    </font>
    <font>
      <b/>
      <sz val="11"/>
      <color indexed="12"/>
      <name val="Times New Roman"/>
      <family val="1"/>
    </font>
    <font>
      <b/>
      <vertAlign val="subscript"/>
      <sz val="11"/>
      <color indexed="12"/>
      <name val="Times New Roman"/>
      <family val="1"/>
    </font>
    <font>
      <b/>
      <sz val="8"/>
      <color indexed="16"/>
      <name val="Arial"/>
      <family val="2"/>
    </font>
    <font>
      <sz val="10"/>
      <color indexed="18"/>
      <name val="Arial"/>
      <family val="2"/>
    </font>
    <font>
      <vertAlign val="subscript"/>
      <sz val="10"/>
      <name val="Arial"/>
      <family val="2"/>
    </font>
    <font>
      <i/>
      <sz val="9"/>
      <color indexed="18"/>
      <name val="Arial"/>
      <family val="2"/>
    </font>
    <font>
      <sz val="10"/>
      <color indexed="10"/>
      <name val="Arial"/>
      <family val="2"/>
    </font>
    <font>
      <b/>
      <sz val="10"/>
      <color indexed="62"/>
      <name val="Arial"/>
      <family val="2"/>
    </font>
    <font>
      <b/>
      <u val="single"/>
      <sz val="10"/>
      <name val="Arial"/>
      <family val="2"/>
    </font>
    <font>
      <vertAlign val="superscript"/>
      <sz val="8"/>
      <name val="Arial"/>
      <family val="2"/>
    </font>
    <font>
      <b/>
      <sz val="10"/>
      <color indexed="9"/>
      <name val="Arial"/>
      <family val="2"/>
    </font>
    <font>
      <u val="single"/>
      <sz val="8"/>
      <name val="Arial"/>
      <family val="2"/>
    </font>
    <font>
      <b/>
      <sz val="9"/>
      <color indexed="62"/>
      <name val="Arial"/>
      <family val="2"/>
    </font>
    <font>
      <b/>
      <u val="single"/>
      <vertAlign val="subscript"/>
      <sz val="10"/>
      <name val="Arial"/>
      <family val="2"/>
    </font>
    <font>
      <b/>
      <u val="single"/>
      <vertAlign val="superscript"/>
      <sz val="10"/>
      <name val="Arial"/>
      <family val="2"/>
    </font>
    <font>
      <b/>
      <sz val="9"/>
      <color indexed="10"/>
      <name val="Arial"/>
      <family val="2"/>
    </font>
    <font>
      <b/>
      <sz val="9"/>
      <color indexed="17"/>
      <name val="Arial"/>
      <family val="2"/>
    </font>
    <font>
      <sz val="9"/>
      <color indexed="16"/>
      <name val="Cooper Md BT"/>
      <family val="1"/>
    </font>
    <font>
      <b/>
      <sz val="14"/>
      <name val="Arial"/>
      <family val="2"/>
    </font>
    <font>
      <i/>
      <sz val="10"/>
      <color indexed="8"/>
      <name val="Times New Roman"/>
      <family val="1"/>
    </font>
    <font>
      <sz val="10"/>
      <color indexed="8"/>
      <name val="Times New Roman"/>
      <family val="1"/>
    </font>
    <font>
      <i/>
      <sz val="10"/>
      <name val="Arial"/>
      <family val="2"/>
    </font>
    <font>
      <b/>
      <sz val="12"/>
      <name val="Arial"/>
      <family val="2"/>
    </font>
    <font>
      <b/>
      <i/>
      <sz val="12"/>
      <name val="Arial"/>
      <family val="2"/>
    </font>
    <font>
      <vertAlign val="superscript"/>
      <sz val="10"/>
      <name val="Arial"/>
      <family val="2"/>
    </font>
    <font>
      <b/>
      <vertAlign val="subscript"/>
      <sz val="8"/>
      <name val="Arial"/>
      <family val="2"/>
    </font>
    <font>
      <sz val="9"/>
      <color indexed="10"/>
      <name val="Times New Roman"/>
      <family val="1"/>
    </font>
    <font>
      <i/>
      <sz val="9"/>
      <color indexed="10"/>
      <name val="Times New Roman"/>
      <family val="1"/>
    </font>
    <font>
      <u val="single"/>
      <sz val="9"/>
      <color indexed="10"/>
      <name val="Times New Roman"/>
      <family val="1"/>
    </font>
    <font>
      <u val="single"/>
      <sz val="10"/>
      <color indexed="12"/>
      <name val="Arial"/>
      <family val="0"/>
    </font>
    <font>
      <u val="single"/>
      <sz val="10"/>
      <color indexed="36"/>
      <name val="Arial"/>
      <family val="0"/>
    </font>
    <font>
      <b/>
      <u val="single"/>
      <sz val="10"/>
      <color indexed="12"/>
      <name val="Arial"/>
      <family val="2"/>
    </font>
    <font>
      <b/>
      <sz val="10"/>
      <color indexed="17"/>
      <name val="Arial"/>
      <family val="2"/>
    </font>
    <font>
      <b/>
      <sz val="10"/>
      <color indexed="10"/>
      <name val="Arial"/>
      <family val="2"/>
    </font>
    <font>
      <b/>
      <sz val="8"/>
      <color indexed="10"/>
      <name val="Tahoma"/>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s>
  <borders count="151">
    <border>
      <left/>
      <right/>
      <top/>
      <bottom/>
      <diagonal/>
    </border>
    <border>
      <left style="slantDashDot">
        <color indexed="10"/>
      </left>
      <right style="thin"/>
      <top style="slantDashDot">
        <color indexed="10"/>
      </top>
      <bottom style="thin"/>
    </border>
    <border>
      <left style="thin"/>
      <right style="thin"/>
      <top style="slantDashDot">
        <color indexed="10"/>
      </top>
      <bottom style="thin"/>
    </border>
    <border>
      <left>
        <color indexed="63"/>
      </left>
      <right style="slantDashDot">
        <color indexed="10"/>
      </right>
      <top style="slantDashDot">
        <color indexed="10"/>
      </top>
      <bottom style="thin"/>
    </border>
    <border>
      <left>
        <color indexed="63"/>
      </left>
      <right style="slantDashDot">
        <color indexed="10"/>
      </right>
      <top>
        <color indexed="63"/>
      </top>
      <bottom>
        <color indexed="63"/>
      </bottom>
    </border>
    <border>
      <left style="slantDashDot">
        <color indexed="10"/>
      </left>
      <right style="thin"/>
      <top>
        <color indexed="63"/>
      </top>
      <bottom>
        <color indexed="63"/>
      </bottom>
    </border>
    <border>
      <left style="thin"/>
      <right style="thin"/>
      <top>
        <color indexed="63"/>
      </top>
      <bottom>
        <color indexed="63"/>
      </bottom>
    </border>
    <border>
      <left style="slantDashDot">
        <color indexed="10"/>
      </left>
      <right style="thin"/>
      <top>
        <color indexed="63"/>
      </top>
      <bottom style="slantDashDot">
        <color indexed="10"/>
      </bottom>
    </border>
    <border>
      <left style="thin"/>
      <right style="thin"/>
      <top>
        <color indexed="63"/>
      </top>
      <bottom style="slantDashDot">
        <color indexed="10"/>
      </bottom>
    </border>
    <border>
      <left style="thin"/>
      <right style="slantDashDot">
        <color indexed="10"/>
      </right>
      <top>
        <color indexed="63"/>
      </top>
      <bottom style="slantDashDot">
        <color indexed="10"/>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slantDashDot">
        <color indexed="36"/>
      </left>
      <right>
        <color indexed="63"/>
      </right>
      <top style="slantDashDot">
        <color indexed="36"/>
      </top>
      <bottom>
        <color indexed="63"/>
      </bottom>
    </border>
    <border>
      <left style="thin"/>
      <right style="thin"/>
      <top style="slantDashDot">
        <color indexed="36"/>
      </top>
      <bottom>
        <color indexed="63"/>
      </bottom>
    </border>
    <border>
      <left>
        <color indexed="63"/>
      </left>
      <right>
        <color indexed="63"/>
      </right>
      <top style="slantDashDot">
        <color indexed="36"/>
      </top>
      <bottom>
        <color indexed="63"/>
      </bottom>
    </border>
    <border>
      <left style="thin"/>
      <right>
        <color indexed="63"/>
      </right>
      <top style="slantDashDot">
        <color indexed="36"/>
      </top>
      <bottom>
        <color indexed="63"/>
      </bottom>
    </border>
    <border>
      <left style="slantDashDot">
        <color indexed="36"/>
      </left>
      <right>
        <color indexed="63"/>
      </right>
      <top>
        <color indexed="63"/>
      </top>
      <bottom>
        <color indexed="63"/>
      </bottom>
    </border>
    <border>
      <left style="slantDashDot">
        <color indexed="36"/>
      </left>
      <right>
        <color indexed="63"/>
      </right>
      <top>
        <color indexed="63"/>
      </top>
      <bottom style="medium"/>
    </border>
    <border>
      <left>
        <color indexed="63"/>
      </left>
      <right style="thin"/>
      <top style="thin"/>
      <bottom style="slantDashDot">
        <color indexed="36"/>
      </bottom>
    </border>
    <border>
      <left style="thin"/>
      <right>
        <color indexed="63"/>
      </right>
      <top>
        <color indexed="63"/>
      </top>
      <bottom style="thin"/>
    </border>
    <border>
      <left>
        <color indexed="63"/>
      </left>
      <right style="thin"/>
      <top style="slantDashDot">
        <color indexed="36"/>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slantDashDot">
        <color indexed="36"/>
      </left>
      <right style="thin"/>
      <top style="thin"/>
      <bottom style="thin"/>
    </border>
    <border>
      <left style="slantDashDot">
        <color indexed="36"/>
      </left>
      <right style="thin"/>
      <top style="thin"/>
      <bottom style="slantDashDot">
        <color indexed="36"/>
      </bottom>
    </border>
    <border>
      <left style="thin"/>
      <right style="thin"/>
      <top style="thin"/>
      <bottom style="slantDashDot">
        <color indexed="36"/>
      </bottom>
    </border>
    <border>
      <left>
        <color indexed="63"/>
      </left>
      <right>
        <color indexed="63"/>
      </right>
      <top>
        <color indexed="63"/>
      </top>
      <bottom style="slantDashDot">
        <color indexed="17"/>
      </bottom>
    </border>
    <border>
      <left style="thin"/>
      <right>
        <color indexed="63"/>
      </right>
      <top>
        <color indexed="63"/>
      </top>
      <bottom style="slantDashDot">
        <color indexed="17"/>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color indexed="9"/>
      </left>
      <right style="thin">
        <color indexed="9"/>
      </right>
      <top style="thin">
        <color indexed="9"/>
      </top>
      <bottom style="thin">
        <color indexed="9"/>
      </bottom>
    </border>
    <border>
      <left>
        <color indexed="63"/>
      </left>
      <right>
        <color indexed="63"/>
      </right>
      <top style="slantDashDot">
        <color indexed="17"/>
      </top>
      <bottom>
        <color indexed="63"/>
      </bottom>
    </border>
    <border>
      <left style="thin"/>
      <right style="thin"/>
      <top>
        <color indexed="63"/>
      </top>
      <bottom style="slantDashDot">
        <color indexed="17"/>
      </bottom>
    </border>
    <border>
      <left>
        <color indexed="63"/>
      </left>
      <right style="thin"/>
      <top>
        <color indexed="63"/>
      </top>
      <bottom style="thin"/>
    </border>
    <border>
      <left>
        <color indexed="63"/>
      </left>
      <right style="thin"/>
      <top style="slantDashDot">
        <color indexed="17"/>
      </top>
      <bottom>
        <color indexed="63"/>
      </bottom>
    </border>
    <border>
      <left style="slantDashDot">
        <color indexed="17"/>
      </left>
      <right>
        <color indexed="63"/>
      </right>
      <top style="slantDashDot">
        <color indexed="17"/>
      </top>
      <bottom>
        <color indexed="63"/>
      </bottom>
    </border>
    <border>
      <left style="thin"/>
      <right style="thin"/>
      <top style="slantDashDot">
        <color indexed="17"/>
      </top>
      <bottom>
        <color indexed="63"/>
      </bottom>
    </border>
    <border>
      <left style="thin"/>
      <right>
        <color indexed="63"/>
      </right>
      <top style="slantDashDot">
        <color indexed="17"/>
      </top>
      <bottom>
        <color indexed="63"/>
      </bottom>
    </border>
    <border>
      <left>
        <color indexed="63"/>
      </left>
      <right style="slantDashDot">
        <color indexed="17"/>
      </right>
      <top style="slantDashDot">
        <color indexed="17"/>
      </top>
      <bottom>
        <color indexed="63"/>
      </bottom>
    </border>
    <border>
      <left style="slantDashDot">
        <color indexed="17"/>
      </left>
      <right>
        <color indexed="63"/>
      </right>
      <top>
        <color indexed="63"/>
      </top>
      <bottom>
        <color indexed="63"/>
      </bottom>
    </border>
    <border>
      <left>
        <color indexed="63"/>
      </left>
      <right style="slantDashDot">
        <color indexed="17"/>
      </right>
      <top>
        <color indexed="63"/>
      </top>
      <bottom>
        <color indexed="63"/>
      </bottom>
    </border>
    <border>
      <left style="slantDashDot">
        <color indexed="17"/>
      </left>
      <right>
        <color indexed="63"/>
      </right>
      <top>
        <color indexed="63"/>
      </top>
      <bottom style="medium"/>
    </border>
    <border>
      <left>
        <color indexed="63"/>
      </left>
      <right style="slantDashDot">
        <color indexed="17"/>
      </right>
      <top>
        <color indexed="63"/>
      </top>
      <bottom style="medium"/>
    </border>
    <border>
      <left>
        <color indexed="63"/>
      </left>
      <right style="thin"/>
      <top style="medium"/>
      <bottom style="thin"/>
    </border>
    <border>
      <left style="thin"/>
      <right>
        <color indexed="63"/>
      </right>
      <top>
        <color indexed="63"/>
      </top>
      <bottom style="slantDashDot">
        <color indexed="36"/>
      </bottom>
    </border>
    <border>
      <left style="thin"/>
      <right>
        <color indexed="63"/>
      </right>
      <top style="thin"/>
      <bottom style="slantDashDot">
        <color indexed="36"/>
      </bottom>
    </border>
    <border>
      <left>
        <color indexed="63"/>
      </left>
      <right>
        <color indexed="63"/>
      </right>
      <top style="thin"/>
      <bottom style="slantDashDot">
        <color indexed="36"/>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double">
        <color indexed="17"/>
      </right>
      <top style="double">
        <color indexed="17"/>
      </top>
      <bottom>
        <color indexed="63"/>
      </bottom>
    </border>
    <border>
      <left style="double">
        <color indexed="17"/>
      </left>
      <right>
        <color indexed="63"/>
      </right>
      <top>
        <color indexed="63"/>
      </top>
      <bottom>
        <color indexed="63"/>
      </bottom>
    </border>
    <border>
      <left>
        <color indexed="63"/>
      </left>
      <right style="double">
        <color indexed="17"/>
      </right>
      <top>
        <color indexed="63"/>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double">
        <color indexed="17"/>
      </right>
      <top>
        <color indexed="63"/>
      </top>
      <bottom style="double">
        <color indexed="17"/>
      </bottom>
    </border>
    <border>
      <left style="double">
        <color indexed="38"/>
      </left>
      <right>
        <color indexed="63"/>
      </right>
      <top style="double">
        <color indexed="38"/>
      </top>
      <bottom>
        <color indexed="63"/>
      </bottom>
    </border>
    <border>
      <left>
        <color indexed="63"/>
      </left>
      <right>
        <color indexed="63"/>
      </right>
      <top style="double">
        <color indexed="38"/>
      </top>
      <bottom>
        <color indexed="63"/>
      </bottom>
    </border>
    <border>
      <left>
        <color indexed="63"/>
      </left>
      <right style="double">
        <color indexed="38"/>
      </right>
      <top style="double">
        <color indexed="38"/>
      </top>
      <bottom>
        <color indexed="63"/>
      </bottom>
    </border>
    <border>
      <left>
        <color indexed="63"/>
      </left>
      <right style="double">
        <color indexed="38"/>
      </right>
      <top>
        <color indexed="63"/>
      </top>
      <bottom>
        <color indexed="63"/>
      </bottom>
    </border>
    <border>
      <left style="double">
        <color indexed="38"/>
      </left>
      <right>
        <color indexed="63"/>
      </right>
      <top>
        <color indexed="63"/>
      </top>
      <bottom>
        <color indexed="63"/>
      </bottom>
    </border>
    <border>
      <left style="double">
        <color indexed="38"/>
      </left>
      <right>
        <color indexed="63"/>
      </right>
      <top>
        <color indexed="63"/>
      </top>
      <bottom style="double">
        <color indexed="38"/>
      </bottom>
    </border>
    <border>
      <left>
        <color indexed="63"/>
      </left>
      <right>
        <color indexed="63"/>
      </right>
      <top>
        <color indexed="63"/>
      </top>
      <bottom style="double">
        <color indexed="38"/>
      </bottom>
    </border>
    <border>
      <left>
        <color indexed="63"/>
      </left>
      <right style="double">
        <color indexed="38"/>
      </right>
      <top>
        <color indexed="63"/>
      </top>
      <bottom style="double">
        <color indexed="38"/>
      </bottom>
    </border>
    <border>
      <left style="double">
        <color indexed="36"/>
      </left>
      <right>
        <color indexed="63"/>
      </right>
      <top style="double">
        <color indexed="36"/>
      </top>
      <bottom>
        <color indexed="63"/>
      </bottom>
    </border>
    <border>
      <left>
        <color indexed="63"/>
      </left>
      <right>
        <color indexed="63"/>
      </right>
      <top style="double">
        <color indexed="36"/>
      </top>
      <bottom>
        <color indexed="63"/>
      </bottom>
    </border>
    <border>
      <left>
        <color indexed="63"/>
      </left>
      <right style="double">
        <color indexed="36"/>
      </right>
      <top style="double">
        <color indexed="36"/>
      </top>
      <bottom>
        <color indexed="63"/>
      </bottom>
    </border>
    <border>
      <left style="double">
        <color indexed="36"/>
      </left>
      <right>
        <color indexed="63"/>
      </right>
      <top>
        <color indexed="63"/>
      </top>
      <bottom>
        <color indexed="63"/>
      </bottom>
    </border>
    <border>
      <left>
        <color indexed="63"/>
      </left>
      <right style="double">
        <color indexed="36"/>
      </right>
      <top>
        <color indexed="63"/>
      </top>
      <bottom>
        <color indexed="63"/>
      </bottom>
    </border>
    <border>
      <left style="double">
        <color indexed="36"/>
      </left>
      <right>
        <color indexed="63"/>
      </right>
      <top>
        <color indexed="63"/>
      </top>
      <bottom style="double">
        <color indexed="36"/>
      </bottom>
    </border>
    <border>
      <left>
        <color indexed="63"/>
      </left>
      <right>
        <color indexed="63"/>
      </right>
      <top>
        <color indexed="63"/>
      </top>
      <bottom style="double">
        <color indexed="36"/>
      </bottom>
    </border>
    <border>
      <left>
        <color indexed="63"/>
      </left>
      <right style="double">
        <color indexed="36"/>
      </right>
      <top>
        <color indexed="63"/>
      </top>
      <bottom style="double">
        <color indexed="36"/>
      </bottom>
    </border>
    <border>
      <left>
        <color indexed="63"/>
      </left>
      <right>
        <color indexed="63"/>
      </right>
      <top>
        <color indexed="63"/>
      </top>
      <bottom style="thin"/>
    </border>
    <border>
      <left style="double">
        <color indexed="36"/>
      </left>
      <right>
        <color indexed="63"/>
      </right>
      <top>
        <color indexed="63"/>
      </top>
      <bottom style="thin"/>
    </border>
    <border>
      <left>
        <color indexed="63"/>
      </left>
      <right style="double">
        <color indexed="36"/>
      </right>
      <top>
        <color indexed="63"/>
      </top>
      <bottom style="thin"/>
    </border>
    <border>
      <left style="slantDashDot">
        <color indexed="39"/>
      </left>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slantDashDot">
        <color indexed="62"/>
      </left>
      <right>
        <color indexed="63"/>
      </right>
      <top style="slantDashDot">
        <color indexed="62"/>
      </top>
      <bottom>
        <color indexed="63"/>
      </bottom>
    </border>
    <border>
      <left>
        <color indexed="63"/>
      </left>
      <right>
        <color indexed="63"/>
      </right>
      <top style="slantDashDot">
        <color indexed="62"/>
      </top>
      <bottom>
        <color indexed="63"/>
      </bottom>
    </border>
    <border>
      <left>
        <color indexed="63"/>
      </left>
      <right style="slantDashDot">
        <color indexed="62"/>
      </right>
      <top style="slantDashDot">
        <color indexed="62"/>
      </top>
      <bottom>
        <color indexed="63"/>
      </bottom>
    </border>
    <border>
      <left style="slantDashDot">
        <color indexed="62"/>
      </left>
      <right>
        <color indexed="63"/>
      </right>
      <top>
        <color indexed="63"/>
      </top>
      <bottom style="slantDashDot">
        <color indexed="62"/>
      </bottom>
    </border>
    <border>
      <left>
        <color indexed="63"/>
      </left>
      <right>
        <color indexed="63"/>
      </right>
      <top>
        <color indexed="63"/>
      </top>
      <bottom style="slantDashDot">
        <color indexed="62"/>
      </bottom>
    </border>
    <border>
      <left>
        <color indexed="63"/>
      </left>
      <right style="slantDashDot">
        <color indexed="62"/>
      </right>
      <top>
        <color indexed="63"/>
      </top>
      <bottom style="slantDashDot">
        <color indexed="62"/>
      </bottom>
    </border>
    <border>
      <left style="slantDashDot">
        <color indexed="39"/>
      </left>
      <right style="thin"/>
      <top>
        <color indexed="63"/>
      </top>
      <bottom>
        <color indexed="63"/>
      </bottom>
    </border>
    <border>
      <left style="slantDashDot">
        <color indexed="39"/>
      </left>
      <right style="thin"/>
      <top style="thin"/>
      <bottom style="thin"/>
    </border>
    <border>
      <left style="slantDashDot">
        <color indexed="39"/>
      </left>
      <right>
        <color indexed="63"/>
      </right>
      <top style="slantDashDot">
        <color indexed="39"/>
      </top>
      <bottom>
        <color indexed="63"/>
      </bottom>
    </border>
    <border>
      <left style="thin"/>
      <right>
        <color indexed="63"/>
      </right>
      <top style="slantDashDot">
        <color indexed="39"/>
      </top>
      <bottom>
        <color indexed="63"/>
      </bottom>
    </border>
    <border>
      <left>
        <color indexed="63"/>
      </left>
      <right style="thin"/>
      <top style="slantDashDot">
        <color indexed="39"/>
      </top>
      <bottom>
        <color indexed="63"/>
      </bottom>
    </border>
    <border>
      <left>
        <color indexed="63"/>
      </left>
      <right>
        <color indexed="63"/>
      </right>
      <top style="slantDashDot">
        <color indexed="39"/>
      </top>
      <bottom>
        <color indexed="63"/>
      </bottom>
    </border>
    <border>
      <left style="slantDashDot">
        <color indexed="39"/>
      </left>
      <right>
        <color indexed="63"/>
      </right>
      <top>
        <color indexed="63"/>
      </top>
      <bottom>
        <color indexed="63"/>
      </bottom>
    </border>
    <border>
      <left style="slantDashDot">
        <color indexed="39"/>
      </left>
      <right>
        <color indexed="63"/>
      </right>
      <top>
        <color indexed="63"/>
      </top>
      <bottom style="medium"/>
    </border>
    <border>
      <left style="slantDashDot">
        <color indexed="39"/>
      </left>
      <right style="thin"/>
      <top style="medium"/>
      <bottom style="thin"/>
    </border>
    <border>
      <left style="thin"/>
      <right style="thin"/>
      <top style="medium"/>
      <bottom style="thin"/>
    </border>
    <border>
      <left style="thin"/>
      <right style="slantDashDot">
        <color indexed="39"/>
      </right>
      <top style="thin"/>
      <bottom style="thin"/>
    </border>
    <border>
      <left style="slantDashDot">
        <color indexed="39"/>
      </left>
      <right style="thin"/>
      <top>
        <color indexed="63"/>
      </top>
      <bottom style="thin"/>
    </border>
    <border>
      <left style="thin"/>
      <right style="slantDashDot">
        <color indexed="39"/>
      </right>
      <top>
        <color indexed="63"/>
      </top>
      <bottom style="thin"/>
    </border>
    <border>
      <left style="thin"/>
      <right style="thin"/>
      <top style="thin"/>
      <bottom style="medium"/>
    </border>
    <border>
      <left style="thin"/>
      <right>
        <color indexed="63"/>
      </right>
      <top style="thin"/>
      <bottom style="medium"/>
    </border>
    <border>
      <left style="thin"/>
      <right style="slantDashDot">
        <color indexed="39"/>
      </right>
      <top style="thin"/>
      <bottom style="medium"/>
    </border>
    <border>
      <left>
        <color indexed="63"/>
      </left>
      <right>
        <color indexed="63"/>
      </right>
      <top style="thin"/>
      <bottom style="medium"/>
    </border>
    <border>
      <left style="thin"/>
      <right style="thin"/>
      <top style="slantDashDot">
        <color indexed="39"/>
      </top>
      <bottom>
        <color indexed="63"/>
      </bottom>
    </border>
    <border>
      <left style="thin"/>
      <right style="slantDashDot">
        <color indexed="39"/>
      </right>
      <top style="slantDashDot">
        <color indexed="39"/>
      </top>
      <bottom>
        <color indexed="63"/>
      </bottom>
    </border>
    <border>
      <left style="thin"/>
      <right style="slantDashDot">
        <color indexed="39"/>
      </right>
      <top>
        <color indexed="63"/>
      </top>
      <bottom>
        <color indexed="63"/>
      </bottom>
    </border>
    <border>
      <left style="thin"/>
      <right style="slantDashDot">
        <color indexed="39"/>
      </right>
      <top>
        <color indexed="63"/>
      </top>
      <bottom style="medium"/>
    </border>
    <border>
      <left>
        <color indexed="63"/>
      </left>
      <right style="thin"/>
      <top style="thin"/>
      <bottom style="medium"/>
    </border>
    <border>
      <left style="thin"/>
      <right style="thin"/>
      <top style="thin"/>
      <bottom style="medium">
        <color indexed="36"/>
      </bottom>
    </border>
    <border>
      <left style="thin"/>
      <right>
        <color indexed="63"/>
      </right>
      <top style="thin"/>
      <bottom style="medium">
        <color indexed="36"/>
      </bottom>
    </border>
    <border>
      <left>
        <color indexed="63"/>
      </left>
      <right style="thin"/>
      <top style="thin"/>
      <bottom style="medium">
        <color indexed="36"/>
      </bottom>
    </border>
    <border>
      <left>
        <color indexed="63"/>
      </left>
      <right>
        <color indexed="63"/>
      </right>
      <top style="thin"/>
      <bottom style="medium">
        <color indexed="36"/>
      </bottom>
    </border>
    <border>
      <left style="thin"/>
      <right style="slantDashDot">
        <color indexed="39"/>
      </right>
      <top style="thin"/>
      <bottom style="medium">
        <color indexed="36"/>
      </bottom>
    </border>
    <border>
      <left style="slantDashDot">
        <color indexed="39"/>
      </left>
      <right style="thin"/>
      <top style="thin"/>
      <bottom style="medium">
        <color indexed="36"/>
      </bottom>
    </border>
    <border>
      <left style="slantDashDot">
        <color indexed="39"/>
      </left>
      <right style="thin"/>
      <top style="thin"/>
      <bottom style="mediumDashDot">
        <color indexed="39"/>
      </bottom>
    </border>
    <border>
      <left style="thin"/>
      <right style="thin"/>
      <top style="thin"/>
      <bottom style="mediumDashDot">
        <color indexed="39"/>
      </bottom>
    </border>
    <border>
      <left style="thin"/>
      <right>
        <color indexed="63"/>
      </right>
      <top style="thin"/>
      <bottom style="mediumDashDot">
        <color indexed="39"/>
      </bottom>
    </border>
    <border>
      <left>
        <color indexed="63"/>
      </left>
      <right style="thin"/>
      <top style="thin"/>
      <bottom style="mediumDashDot">
        <color indexed="39"/>
      </bottom>
    </border>
    <border>
      <left>
        <color indexed="63"/>
      </left>
      <right>
        <color indexed="63"/>
      </right>
      <top style="thin"/>
      <bottom style="mediumDashDot">
        <color indexed="39"/>
      </bottom>
    </border>
    <border>
      <left style="thin"/>
      <right style="slantDashDot">
        <color indexed="39"/>
      </right>
      <top style="thin"/>
      <bottom style="mediumDashDot">
        <color indexed="39"/>
      </bottom>
    </border>
    <border>
      <left style="slantDashDot">
        <color indexed="17"/>
      </left>
      <right style="thin"/>
      <top>
        <color indexed="63"/>
      </top>
      <bottom>
        <color indexed="63"/>
      </bottom>
    </border>
    <border>
      <left style="slantDashDot">
        <color indexed="17"/>
      </left>
      <right style="thin"/>
      <top>
        <color indexed="63"/>
      </top>
      <bottom style="slantDashDot">
        <color indexed="17"/>
      </bottom>
    </border>
    <border>
      <left style="slantDashDot">
        <color indexed="17"/>
      </left>
      <right style="thin"/>
      <top style="medium"/>
      <bottom>
        <color indexed="63"/>
      </bottom>
    </border>
    <border>
      <left style="thin"/>
      <right style="slantDashDot">
        <color indexed="17"/>
      </right>
      <top style="medium"/>
      <bottom>
        <color indexed="63"/>
      </bottom>
    </border>
    <border>
      <left style="thin"/>
      <right style="slantDashDot">
        <color indexed="17"/>
      </right>
      <top>
        <color indexed="63"/>
      </top>
      <bottom style="thin"/>
    </border>
    <border>
      <left style="thin"/>
      <right style="slantDashDot">
        <color indexed="17"/>
      </right>
      <top style="thin"/>
      <bottom>
        <color indexed="63"/>
      </bottom>
    </border>
    <border>
      <left style="thin"/>
      <right style="slantDashDot">
        <color indexed="17"/>
      </right>
      <top>
        <color indexed="63"/>
      </top>
      <bottom>
        <color indexed="63"/>
      </bottom>
    </border>
    <border>
      <left style="thin"/>
      <right style="slantDashDot">
        <color indexed="17"/>
      </right>
      <top>
        <color indexed="63"/>
      </top>
      <bottom style="slantDashDot">
        <color indexed="17"/>
      </bottom>
    </border>
    <border>
      <left>
        <color indexed="63"/>
      </left>
      <right style="slantDashDot">
        <color indexed="36"/>
      </right>
      <top style="thin"/>
      <bottom style="thin"/>
    </border>
    <border>
      <left>
        <color indexed="63"/>
      </left>
      <right style="slantDashDot">
        <color indexed="36"/>
      </right>
      <top style="thin"/>
      <bottom style="slantDashDot">
        <color indexed="36"/>
      </bottom>
    </border>
    <border>
      <left>
        <color indexed="63"/>
      </left>
      <right style="slantDashDot">
        <color indexed="36"/>
      </right>
      <top>
        <color indexed="63"/>
      </top>
      <bottom style="medium"/>
    </border>
    <border>
      <left>
        <color indexed="63"/>
      </left>
      <right style="slantDashDot">
        <color indexed="36"/>
      </right>
      <top style="slantDashDot">
        <color indexed="36"/>
      </top>
      <bottom>
        <color indexed="63"/>
      </bottom>
    </border>
    <border>
      <left>
        <color indexed="63"/>
      </left>
      <right style="slantDashDot">
        <color indexed="36"/>
      </right>
      <top>
        <color indexed="63"/>
      </top>
      <bottom>
        <color indexed="63"/>
      </bottom>
    </border>
    <border>
      <left>
        <color indexed="63"/>
      </left>
      <right style="slantDashDot">
        <color indexed="36"/>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9" fontId="0" fillId="0" borderId="0" applyFont="0" applyFill="0" applyBorder="0" applyAlignment="0" applyProtection="0"/>
  </cellStyleXfs>
  <cellXfs count="412">
    <xf numFmtId="0" fontId="0" fillId="0" borderId="0" xfId="0" applyAlignment="1">
      <alignment/>
    </xf>
    <xf numFmtId="0" fontId="0" fillId="0" borderId="0" xfId="0" applyBorder="1" applyAlignment="1">
      <alignment/>
    </xf>
    <xf numFmtId="0" fontId="2" fillId="2" borderId="1" xfId="0" applyFont="1" applyFill="1" applyBorder="1" applyAlignment="1">
      <alignment horizontal="centerContinuous"/>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2" fontId="0" fillId="3" borderId="4" xfId="0" applyNumberFormat="1" applyFill="1" applyBorder="1" applyAlignment="1">
      <alignment/>
    </xf>
    <xf numFmtId="0" fontId="0" fillId="4" borderId="5" xfId="0" applyFill="1" applyBorder="1" applyAlignment="1" applyProtection="1">
      <alignment/>
      <protection locked="0"/>
    </xf>
    <xf numFmtId="0" fontId="0" fillId="4" borderId="6" xfId="0" applyFill="1" applyBorder="1" applyAlignment="1" applyProtection="1">
      <alignment/>
      <protection locked="0"/>
    </xf>
    <xf numFmtId="0" fontId="0" fillId="4" borderId="7" xfId="0" applyFill="1" applyBorder="1" applyAlignment="1" applyProtection="1">
      <alignment/>
      <protection locked="0"/>
    </xf>
    <xf numFmtId="0" fontId="0" fillId="4" borderId="8" xfId="0" applyFill="1" applyBorder="1" applyAlignment="1" applyProtection="1">
      <alignment/>
      <protection locked="0"/>
    </xf>
    <xf numFmtId="0" fontId="7"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7" fillId="0" borderId="0" xfId="0" applyFont="1" applyAlignment="1" applyProtection="1">
      <alignment/>
      <protection locked="0"/>
    </xf>
    <xf numFmtId="2" fontId="0" fillId="3" borderId="9" xfId="0" applyNumberFormat="1" applyFill="1" applyBorder="1" applyAlignment="1">
      <alignment/>
    </xf>
    <xf numFmtId="0" fontId="0" fillId="0" borderId="0" xfId="0" applyFont="1" applyAlignment="1">
      <alignment/>
    </xf>
    <xf numFmtId="0" fontId="1" fillId="2" borderId="0" xfId="0" applyFont="1" applyFill="1" applyBorder="1" applyAlignment="1">
      <alignment horizontal="center"/>
    </xf>
    <xf numFmtId="0" fontId="1" fillId="2" borderId="0" xfId="0" applyFont="1" applyFill="1" applyBorder="1" applyAlignment="1">
      <alignment/>
    </xf>
    <xf numFmtId="0" fontId="1" fillId="2" borderId="10" xfId="0" applyFont="1" applyFill="1" applyBorder="1" applyAlignment="1">
      <alignment horizontal="center"/>
    </xf>
    <xf numFmtId="0" fontId="1" fillId="2" borderId="10" xfId="0" applyFont="1" applyFill="1" applyBorder="1" applyAlignment="1">
      <alignment/>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0" fillId="2" borderId="13" xfId="0" applyFont="1" applyFill="1" applyBorder="1" applyAlignment="1">
      <alignment horizontal="right"/>
    </xf>
    <xf numFmtId="0" fontId="8" fillId="5" borderId="14" xfId="0" applyFont="1" applyFill="1" applyBorder="1" applyAlignment="1">
      <alignment horizontal="left"/>
    </xf>
    <xf numFmtId="0" fontId="1" fillId="2" borderId="15" xfId="0" applyFont="1" applyFill="1" applyBorder="1" applyAlignment="1">
      <alignment/>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xf>
    <xf numFmtId="0" fontId="1" fillId="2" borderId="17" xfId="0" applyFont="1" applyFill="1" applyBorder="1" applyAlignment="1">
      <alignment/>
    </xf>
    <xf numFmtId="0" fontId="1" fillId="2" borderId="19" xfId="0" applyFont="1" applyFill="1" applyBorder="1" applyAlignment="1">
      <alignment/>
    </xf>
    <xf numFmtId="0" fontId="10" fillId="2" borderId="20" xfId="0" applyFont="1" applyFill="1" applyBorder="1" applyAlignment="1">
      <alignment horizontal="right"/>
    </xf>
    <xf numFmtId="0" fontId="8" fillId="5" borderId="21" xfId="0" applyFont="1" applyFill="1" applyBorder="1" applyAlignment="1">
      <alignment horizontal="left"/>
    </xf>
    <xf numFmtId="0" fontId="0" fillId="2" borderId="12" xfId="0" applyFill="1" applyBorder="1" applyAlignment="1">
      <alignment/>
    </xf>
    <xf numFmtId="0" fontId="9" fillId="5" borderId="22" xfId="0" applyNumberFormat="1" applyFont="1" applyFill="1" applyBorder="1" applyAlignment="1">
      <alignment horizontal="right"/>
    </xf>
    <xf numFmtId="0" fontId="10" fillId="2" borderId="13" xfId="0" applyFont="1" applyFill="1" applyBorder="1" applyAlignment="1">
      <alignment horizontal="center"/>
    </xf>
    <xf numFmtId="0" fontId="8" fillId="0" borderId="0" xfId="0" applyFont="1" applyAlignment="1">
      <alignment/>
    </xf>
    <xf numFmtId="0" fontId="0" fillId="2" borderId="0" xfId="0" applyFill="1" applyBorder="1" applyAlignment="1">
      <alignment/>
    </xf>
    <xf numFmtId="0" fontId="0" fillId="2" borderId="10" xfId="0" applyFill="1" applyBorder="1" applyAlignment="1">
      <alignment/>
    </xf>
    <xf numFmtId="0" fontId="8" fillId="2" borderId="23" xfId="0" applyFont="1" applyFill="1" applyBorder="1" applyAlignment="1">
      <alignment/>
    </xf>
    <xf numFmtId="0" fontId="0" fillId="2" borderId="24" xfId="0" applyFill="1" applyBorder="1" applyAlignment="1">
      <alignment/>
    </xf>
    <xf numFmtId="0" fontId="0" fillId="2" borderId="25" xfId="0" applyFill="1" applyBorder="1" applyAlignment="1">
      <alignment/>
    </xf>
    <xf numFmtId="0" fontId="8" fillId="5" borderId="14" xfId="0" applyFont="1" applyFill="1" applyBorder="1" applyAlignment="1">
      <alignment/>
    </xf>
    <xf numFmtId="0" fontId="8" fillId="5" borderId="21" xfId="0" applyFont="1" applyFill="1" applyBorder="1" applyAlignment="1">
      <alignment/>
    </xf>
    <xf numFmtId="0" fontId="0" fillId="5" borderId="26" xfId="0" applyFill="1" applyBorder="1" applyAlignment="1">
      <alignment/>
    </xf>
    <xf numFmtId="0" fontId="0" fillId="5" borderId="27" xfId="0" applyFill="1" applyBorder="1" applyAlignment="1">
      <alignment/>
    </xf>
    <xf numFmtId="0" fontId="8" fillId="5" borderId="27" xfId="0" applyFont="1" applyFill="1" applyBorder="1" applyAlignment="1">
      <alignment/>
    </xf>
    <xf numFmtId="0" fontId="0" fillId="0" borderId="28" xfId="0" applyBorder="1" applyAlignment="1">
      <alignment horizontal="center"/>
    </xf>
    <xf numFmtId="0" fontId="10" fillId="2" borderId="29" xfId="0" applyFont="1" applyFill="1" applyBorder="1" applyAlignment="1">
      <alignment horizontal="center"/>
    </xf>
    <xf numFmtId="0" fontId="10" fillId="2" borderId="30" xfId="0" applyFont="1" applyFill="1" applyBorder="1" applyAlignment="1">
      <alignment horizontal="center"/>
    </xf>
    <xf numFmtId="0" fontId="10" fillId="2" borderId="31" xfId="0" applyFont="1" applyFill="1" applyBorder="1" applyAlignment="1">
      <alignment horizontal="centerContinuous"/>
    </xf>
    <xf numFmtId="0" fontId="10" fillId="2" borderId="32" xfId="0" applyFont="1" applyFill="1" applyBorder="1" applyAlignment="1">
      <alignment horizontal="centerContinuous"/>
    </xf>
    <xf numFmtId="0" fontId="10" fillId="2" borderId="33" xfId="0" applyFont="1" applyFill="1" applyBorder="1" applyAlignment="1">
      <alignment horizontal="centerContinuous"/>
    </xf>
    <xf numFmtId="0" fontId="0" fillId="0" borderId="28" xfId="0" applyNumberFormat="1" applyBorder="1" applyAlignment="1">
      <alignment horizontal="center"/>
    </xf>
    <xf numFmtId="0" fontId="10" fillId="2" borderId="14" xfId="0" applyFont="1" applyFill="1" applyBorder="1" applyAlignment="1">
      <alignment horizontal="center"/>
    </xf>
    <xf numFmtId="0" fontId="1" fillId="2" borderId="27" xfId="0" applyFont="1" applyFill="1" applyBorder="1" applyAlignment="1">
      <alignment horizontal="center"/>
    </xf>
    <xf numFmtId="0" fontId="1" fillId="2" borderId="34" xfId="0" applyFont="1" applyFill="1" applyBorder="1" applyAlignment="1">
      <alignment horizontal="center"/>
    </xf>
    <xf numFmtId="0" fontId="1" fillId="2" borderId="29" xfId="0" applyFont="1" applyFill="1" applyBorder="1" applyAlignment="1">
      <alignment horizontal="center"/>
    </xf>
    <xf numFmtId="0" fontId="9" fillId="0" borderId="35" xfId="0" applyFont="1" applyBorder="1" applyAlignment="1" applyProtection="1">
      <alignment/>
      <protection locked="0"/>
    </xf>
    <xf numFmtId="0" fontId="9" fillId="0" borderId="28" xfId="0" applyFont="1" applyBorder="1" applyAlignment="1" applyProtection="1">
      <alignment horizontal="center"/>
      <protection locked="0"/>
    </xf>
    <xf numFmtId="0" fontId="9" fillId="0" borderId="36" xfId="0" applyFont="1" applyBorder="1" applyAlignment="1" applyProtection="1">
      <alignment/>
      <protection locked="0"/>
    </xf>
    <xf numFmtId="0" fontId="9" fillId="0" borderId="37" xfId="0" applyFont="1" applyBorder="1" applyAlignment="1" applyProtection="1">
      <alignment horizontal="center"/>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3" borderId="41" xfId="0" applyNumberFormat="1" applyFill="1" applyBorder="1" applyAlignment="1">
      <alignment/>
    </xf>
    <xf numFmtId="0" fontId="0" fillId="0" borderId="40"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24" xfId="0" applyBorder="1" applyAlignment="1">
      <alignment/>
    </xf>
    <xf numFmtId="0" fontId="0" fillId="0" borderId="12" xfId="0" applyBorder="1" applyAlignment="1">
      <alignment/>
    </xf>
    <xf numFmtId="0" fontId="0" fillId="0" borderId="6" xfId="0" applyBorder="1" applyAlignment="1">
      <alignment/>
    </xf>
    <xf numFmtId="0" fontId="1" fillId="0" borderId="0" xfId="0" applyFont="1" applyAlignment="1">
      <alignment/>
    </xf>
    <xf numFmtId="0" fontId="7" fillId="0" borderId="0" xfId="0" applyFont="1" applyFill="1" applyAlignment="1" applyProtection="1">
      <alignment/>
      <protection locked="0"/>
    </xf>
    <xf numFmtId="2" fontId="7" fillId="0" borderId="0" xfId="0" applyNumberFormat="1" applyFont="1" applyFill="1" applyBorder="1" applyAlignment="1">
      <alignment/>
    </xf>
    <xf numFmtId="165" fontId="12" fillId="0" borderId="44" xfId="0" applyNumberFormat="1" applyFont="1" applyBorder="1" applyAlignment="1">
      <alignment/>
    </xf>
    <xf numFmtId="0" fontId="0" fillId="3" borderId="43" xfId="0" applyNumberFormat="1" applyFill="1" applyBorder="1" applyAlignment="1">
      <alignment horizontal="center"/>
    </xf>
    <xf numFmtId="2" fontId="7" fillId="0" borderId="0" xfId="0" applyNumberFormat="1" applyFont="1" applyAlignment="1">
      <alignment/>
    </xf>
    <xf numFmtId="0" fontId="0" fillId="3" borderId="6" xfId="0" applyFill="1" applyBorder="1" applyAlignment="1">
      <alignment/>
    </xf>
    <xf numFmtId="0" fontId="18" fillId="0" borderId="0" xfId="0" applyFont="1" applyAlignment="1">
      <alignment/>
    </xf>
    <xf numFmtId="0" fontId="0" fillId="3" borderId="40" xfId="0" applyNumberFormat="1" applyFill="1" applyBorder="1" applyAlignment="1" applyProtection="1">
      <alignment horizontal="center"/>
      <protection locked="0"/>
    </xf>
    <xf numFmtId="0" fontId="0" fillId="2" borderId="45" xfId="0" applyFill="1" applyBorder="1" applyAlignment="1" applyProtection="1">
      <alignment/>
      <protection/>
    </xf>
    <xf numFmtId="0" fontId="0" fillId="2" borderId="12" xfId="0" applyFill="1" applyBorder="1" applyAlignment="1" applyProtection="1">
      <alignment/>
      <protection/>
    </xf>
    <xf numFmtId="0" fontId="0" fillId="2" borderId="0" xfId="0" applyFill="1" applyAlignment="1" applyProtection="1">
      <alignment/>
      <protection/>
    </xf>
    <xf numFmtId="0" fontId="8" fillId="2" borderId="0" xfId="0" applyFont="1" applyFill="1" applyBorder="1" applyAlignment="1" applyProtection="1">
      <alignment/>
      <protection/>
    </xf>
    <xf numFmtId="0" fontId="1" fillId="2" borderId="12"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2" borderId="24" xfId="0" applyFill="1" applyBorder="1" applyAlignment="1" applyProtection="1">
      <alignment horizontal="center"/>
      <protection/>
    </xf>
    <xf numFmtId="0" fontId="8" fillId="2" borderId="24" xfId="0" applyFont="1" applyFill="1" applyBorder="1" applyAlignment="1" applyProtection="1">
      <alignment/>
      <protection/>
    </xf>
    <xf numFmtId="0" fontId="1" fillId="2" borderId="6"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24" xfId="0" applyFont="1" applyFill="1" applyBorder="1" applyAlignment="1" applyProtection="1">
      <alignment horizontal="center"/>
      <protection/>
    </xf>
    <xf numFmtId="0" fontId="1" fillId="2" borderId="0" xfId="0" applyFont="1" applyFill="1" applyBorder="1" applyAlignment="1" applyProtection="1">
      <alignment/>
      <protection/>
    </xf>
    <xf numFmtId="0" fontId="7" fillId="0" borderId="0" xfId="0" applyFont="1" applyAlignment="1" applyProtection="1">
      <alignment/>
      <protection/>
    </xf>
    <xf numFmtId="0" fontId="0" fillId="3" borderId="12" xfId="0" applyFill="1" applyBorder="1" applyAlignment="1">
      <alignment/>
    </xf>
    <xf numFmtId="0" fontId="0" fillId="3" borderId="0" xfId="0" applyFill="1" applyBorder="1" applyAlignment="1">
      <alignment/>
    </xf>
    <xf numFmtId="0" fontId="0" fillId="3" borderId="38" xfId="0" applyFill="1" applyBorder="1" applyAlignment="1">
      <alignment/>
    </xf>
    <xf numFmtId="0" fontId="0" fillId="3" borderId="46" xfId="0" applyFill="1" applyBorder="1" applyAlignment="1">
      <alignment/>
    </xf>
    <xf numFmtId="0" fontId="1" fillId="2" borderId="25" xfId="0" applyFont="1" applyFill="1" applyBorder="1" applyAlignment="1" applyProtection="1">
      <alignment horizontal="center"/>
      <protection/>
    </xf>
    <xf numFmtId="0" fontId="1" fillId="2" borderId="11" xfId="0" applyFont="1" applyFill="1" applyBorder="1" applyAlignment="1" applyProtection="1">
      <alignment horizontal="center"/>
      <protection/>
    </xf>
    <xf numFmtId="0" fontId="7" fillId="0" borderId="0" xfId="0" applyFont="1" applyFill="1" applyBorder="1" applyAlignment="1" applyProtection="1">
      <alignment/>
      <protection/>
    </xf>
    <xf numFmtId="0" fontId="0" fillId="2" borderId="23" xfId="0" applyFill="1" applyBorder="1" applyAlignment="1">
      <alignment/>
    </xf>
    <xf numFmtId="0" fontId="9" fillId="5" borderId="47" xfId="0" applyNumberFormat="1" applyFont="1" applyFill="1" applyBorder="1" applyAlignment="1">
      <alignment/>
    </xf>
    <xf numFmtId="0" fontId="9" fillId="5" borderId="14" xfId="0" applyNumberFormat="1" applyFont="1" applyFill="1" applyBorder="1" applyAlignment="1">
      <alignment/>
    </xf>
    <xf numFmtId="0" fontId="9" fillId="5" borderId="21" xfId="0" applyNumberFormat="1" applyFont="1" applyFill="1" applyBorder="1" applyAlignment="1">
      <alignment/>
    </xf>
    <xf numFmtId="0" fontId="12" fillId="0" borderId="0" xfId="0" applyFont="1" applyFill="1" applyBorder="1" applyAlignment="1" applyProtection="1">
      <alignment/>
      <protection/>
    </xf>
    <xf numFmtId="0" fontId="0" fillId="2" borderId="48" xfId="0" applyFill="1" applyBorder="1" applyAlignment="1" applyProtection="1">
      <alignment/>
      <protection/>
    </xf>
    <xf numFmtId="0" fontId="1" fillId="2" borderId="11" xfId="0" applyFont="1" applyFill="1" applyBorder="1" applyAlignment="1" applyProtection="1">
      <alignment horizontal="center" vertical="top"/>
      <protection/>
    </xf>
    <xf numFmtId="0" fontId="7" fillId="0" borderId="38" xfId="0" applyFont="1" applyFill="1" applyBorder="1" applyAlignment="1" applyProtection="1">
      <alignment/>
      <protection locked="0"/>
    </xf>
    <xf numFmtId="0" fontId="7" fillId="0" borderId="38" xfId="0" applyFont="1" applyFill="1" applyBorder="1" applyAlignment="1" applyProtection="1">
      <alignment/>
      <protection/>
    </xf>
    <xf numFmtId="0" fontId="19" fillId="0" borderId="0" xfId="0" applyFont="1" applyAlignment="1">
      <alignment/>
    </xf>
    <xf numFmtId="0" fontId="12" fillId="0" borderId="0" xfId="0" applyFont="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center"/>
    </xf>
    <xf numFmtId="0" fontId="20" fillId="0" borderId="0" xfId="0" applyFont="1" applyAlignment="1">
      <alignment/>
    </xf>
    <xf numFmtId="0" fontId="1" fillId="2" borderId="10" xfId="0" applyFont="1" applyFill="1" applyBorder="1" applyAlignment="1">
      <alignment/>
    </xf>
    <xf numFmtId="0" fontId="8" fillId="2" borderId="18" xfId="0" applyFont="1" applyFill="1" applyBorder="1" applyAlignment="1">
      <alignment/>
    </xf>
    <xf numFmtId="166" fontId="0" fillId="0" borderId="0" xfId="0" applyNumberFormat="1" applyAlignment="1">
      <alignment/>
    </xf>
    <xf numFmtId="0" fontId="7" fillId="0" borderId="0" xfId="0" applyFont="1" applyBorder="1" applyAlignment="1" applyProtection="1">
      <alignment/>
      <protection locked="0"/>
    </xf>
    <xf numFmtId="0" fontId="7" fillId="0" borderId="0" xfId="0" applyFont="1" applyFill="1" applyBorder="1" applyAlignment="1" applyProtection="1">
      <alignment/>
      <protection locked="0"/>
    </xf>
    <xf numFmtId="0" fontId="5" fillId="3" borderId="12" xfId="0" applyFont="1" applyFill="1" applyBorder="1" applyAlignment="1">
      <alignment/>
    </xf>
    <xf numFmtId="0" fontId="14" fillId="3" borderId="12" xfId="0" applyNumberFormat="1" applyFont="1" applyFill="1" applyBorder="1" applyAlignment="1">
      <alignment/>
    </xf>
    <xf numFmtId="0" fontId="14" fillId="3" borderId="12" xfId="0" applyFont="1" applyFill="1" applyBorder="1" applyAlignment="1">
      <alignment/>
    </xf>
    <xf numFmtId="0" fontId="14" fillId="3" borderId="6" xfId="0" applyFont="1" applyFill="1" applyBorder="1" applyAlignment="1">
      <alignment/>
    </xf>
    <xf numFmtId="0" fontId="14" fillId="3" borderId="12" xfId="0" applyFont="1" applyFill="1" applyBorder="1" applyAlignment="1">
      <alignment/>
    </xf>
    <xf numFmtId="0" fontId="0" fillId="3" borderId="24" xfId="0" applyFill="1" applyBorder="1" applyAlignment="1">
      <alignment/>
    </xf>
    <xf numFmtId="0" fontId="0" fillId="3" borderId="0" xfId="0" applyFill="1" applyAlignment="1">
      <alignment/>
    </xf>
    <xf numFmtId="0" fontId="1" fillId="3" borderId="12" xfId="0" applyFont="1" applyFill="1" applyBorder="1" applyAlignment="1">
      <alignment/>
    </xf>
    <xf numFmtId="0" fontId="0" fillId="3" borderId="39" xfId="0" applyFill="1" applyBorder="1" applyAlignment="1">
      <alignment/>
    </xf>
    <xf numFmtId="0" fontId="1" fillId="3" borderId="39" xfId="0" applyFont="1" applyFill="1" applyBorder="1" applyAlignment="1">
      <alignment/>
    </xf>
    <xf numFmtId="0" fontId="0" fillId="0" borderId="22" xfId="0" applyBorder="1" applyAlignment="1">
      <alignment/>
    </xf>
    <xf numFmtId="0" fontId="0" fillId="0" borderId="47" xfId="0" applyBorder="1" applyAlignment="1">
      <alignment/>
    </xf>
    <xf numFmtId="0" fontId="0" fillId="0" borderId="30" xfId="0" applyBorder="1" applyAlignment="1">
      <alignment/>
    </xf>
    <xf numFmtId="0" fontId="0" fillId="2" borderId="49" xfId="0" applyFill="1" applyBorder="1" applyAlignment="1" applyProtection="1">
      <alignment/>
      <protection/>
    </xf>
    <xf numFmtId="0" fontId="7" fillId="2" borderId="45" xfId="0" applyFont="1" applyFill="1" applyBorder="1" applyAlignment="1" applyProtection="1">
      <alignment/>
      <protection/>
    </xf>
    <xf numFmtId="0" fontId="0" fillId="2" borderId="50" xfId="0" applyFill="1" applyBorder="1" applyAlignment="1" applyProtection="1">
      <alignment/>
      <protection/>
    </xf>
    <xf numFmtId="0" fontId="0" fillId="2" borderId="51" xfId="0" applyFill="1" applyBorder="1" applyAlignment="1" applyProtection="1">
      <alignment/>
      <protection/>
    </xf>
    <xf numFmtId="0" fontId="0" fillId="2" borderId="52" xfId="0" applyFill="1" applyBorder="1" applyAlignment="1" applyProtection="1">
      <alignment/>
      <protection/>
    </xf>
    <xf numFmtId="0" fontId="0" fillId="2" borderId="53" xfId="0" applyFill="1" applyBorder="1" applyAlignment="1" applyProtection="1">
      <alignment/>
      <protection/>
    </xf>
    <xf numFmtId="0" fontId="7" fillId="2" borderId="0" xfId="0" applyFont="1" applyFill="1" applyBorder="1" applyAlignment="1" applyProtection="1">
      <alignment/>
      <protection/>
    </xf>
    <xf numFmtId="0" fontId="8" fillId="2" borderId="54" xfId="0" applyFont="1" applyFill="1" applyBorder="1" applyAlignment="1" applyProtection="1">
      <alignment/>
      <protection/>
    </xf>
    <xf numFmtId="0" fontId="0" fillId="2" borderId="55" xfId="0" applyFill="1" applyBorder="1" applyAlignment="1" applyProtection="1">
      <alignment/>
      <protection/>
    </xf>
    <xf numFmtId="0" fontId="10" fillId="2" borderId="56" xfId="0" applyFont="1" applyFill="1" applyBorder="1" applyAlignment="1" applyProtection="1">
      <alignment horizontal="center"/>
      <protection/>
    </xf>
    <xf numFmtId="0" fontId="13" fillId="0" borderId="0" xfId="0" applyFont="1" applyAlignment="1">
      <alignment/>
    </xf>
    <xf numFmtId="0" fontId="7" fillId="0" borderId="45" xfId="0" applyFont="1" applyFill="1" applyBorder="1" applyAlignment="1" applyProtection="1">
      <alignment/>
      <protection locked="0"/>
    </xf>
    <xf numFmtId="0" fontId="9" fillId="5" borderId="57" xfId="0" applyFont="1" applyFill="1" applyBorder="1" applyAlignment="1">
      <alignment horizontal="center"/>
    </xf>
    <xf numFmtId="0" fontId="9" fillId="5" borderId="14" xfId="0" applyFont="1" applyFill="1" applyBorder="1" applyAlignment="1">
      <alignment horizontal="center"/>
    </xf>
    <xf numFmtId="0" fontId="9" fillId="5" borderId="58" xfId="0" applyNumberFormat="1" applyFont="1" applyFill="1" applyBorder="1" applyAlignment="1">
      <alignment horizontal="right"/>
    </xf>
    <xf numFmtId="0" fontId="7" fillId="0" borderId="0" xfId="0" applyNumberFormat="1" applyFont="1" applyFill="1" applyBorder="1" applyAlignment="1">
      <alignment horizontal="right"/>
    </xf>
    <xf numFmtId="0" fontId="2" fillId="0" borderId="0" xfId="0" applyFont="1" applyBorder="1" applyAlignment="1">
      <alignment horizontal="centerContinuous"/>
    </xf>
    <xf numFmtId="0" fontId="9" fillId="0" borderId="0" xfId="0" applyFont="1" applyBorder="1" applyAlignment="1">
      <alignment/>
    </xf>
    <xf numFmtId="0" fontId="28" fillId="0" borderId="0" xfId="0" applyFont="1" applyBorder="1" applyAlignment="1">
      <alignment/>
    </xf>
    <xf numFmtId="0" fontId="9" fillId="5" borderId="59" xfId="0" applyNumberFormat="1" applyFont="1" applyFill="1" applyBorder="1" applyAlignment="1">
      <alignment horizontal="right"/>
    </xf>
    <xf numFmtId="0" fontId="8" fillId="5" borderId="60" xfId="0" applyFont="1" applyFill="1" applyBorder="1" applyAlignment="1">
      <alignment/>
    </xf>
    <xf numFmtId="0" fontId="9" fillId="5" borderId="21" xfId="0" applyFont="1" applyFill="1" applyBorder="1" applyAlignment="1">
      <alignment horizontal="center"/>
    </xf>
    <xf numFmtId="0" fontId="9" fillId="0" borderId="0" xfId="0" applyFont="1" applyAlignment="1">
      <alignment horizontal="center"/>
    </xf>
    <xf numFmtId="0" fontId="9" fillId="5" borderId="27" xfId="0" applyNumberFormat="1" applyFont="1" applyFill="1" applyBorder="1" applyAlignment="1">
      <alignment horizontal="right"/>
    </xf>
    <xf numFmtId="0" fontId="9" fillId="5" borderId="26" xfId="0" applyNumberFormat="1" applyFont="1" applyFill="1" applyBorder="1" applyAlignment="1">
      <alignment horizontal="right"/>
    </xf>
    <xf numFmtId="0" fontId="32" fillId="0" borderId="0" xfId="0" applyFont="1" applyAlignment="1">
      <alignment horizontal="center"/>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left" indent="2"/>
    </xf>
    <xf numFmtId="0" fontId="0" fillId="0" borderId="0" xfId="0" applyAlignment="1">
      <alignment horizontal="left" indent="2"/>
    </xf>
    <xf numFmtId="0" fontId="0" fillId="0" borderId="0" xfId="0" applyAlignment="1">
      <alignment/>
    </xf>
    <xf numFmtId="0" fontId="36" fillId="0" borderId="0" xfId="0" applyFont="1" applyAlignment="1">
      <alignment/>
    </xf>
    <xf numFmtId="0" fontId="2" fillId="0" borderId="34" xfId="0" applyFont="1" applyBorder="1" applyAlignment="1">
      <alignment horizontal="center"/>
    </xf>
    <xf numFmtId="0" fontId="23" fillId="0" borderId="61" xfId="0" applyFont="1"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2" fillId="0" borderId="64"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39" fillId="0" borderId="64" xfId="0" applyFont="1"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23" fillId="0" borderId="69" xfId="0" applyFont="1"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40" fillId="0" borderId="77" xfId="0" applyFont="1"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2" fillId="0" borderId="80" xfId="0" applyFont="1" applyBorder="1" applyAlignment="1">
      <alignment/>
    </xf>
    <xf numFmtId="0" fontId="2" fillId="0" borderId="0" xfId="0" applyFont="1" applyBorder="1" applyAlignment="1">
      <alignment/>
    </xf>
    <xf numFmtId="0" fontId="8" fillId="0" borderId="80" xfId="0" applyFont="1" applyBorder="1" applyAlignment="1">
      <alignment/>
    </xf>
    <xf numFmtId="0" fontId="2" fillId="0" borderId="0" xfId="0" applyFont="1" applyBorder="1" applyAlignment="1">
      <alignment horizontal="left" indent="2"/>
    </xf>
    <xf numFmtId="0" fontId="2" fillId="0" borderId="0" xfId="0" applyFont="1" applyBorder="1" applyAlignment="1">
      <alignment/>
    </xf>
    <xf numFmtId="0" fontId="0" fillId="0" borderId="0" xfId="0" applyBorder="1" applyAlignment="1">
      <alignment/>
    </xf>
    <xf numFmtId="0" fontId="0" fillId="0" borderId="82" xfId="0" applyBorder="1" applyAlignment="1">
      <alignment/>
    </xf>
    <xf numFmtId="0" fontId="0" fillId="0" borderId="83" xfId="0" applyBorder="1" applyAlignment="1">
      <alignment/>
    </xf>
    <xf numFmtId="0" fontId="0" fillId="0" borderId="84"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35" fillId="0" borderId="0" xfId="0" applyFont="1" applyFill="1" applyBorder="1" applyAlignment="1">
      <alignment/>
    </xf>
    <xf numFmtId="0" fontId="8" fillId="0" borderId="0" xfId="0" applyFont="1" applyFill="1" applyBorder="1" applyAlignment="1">
      <alignment/>
    </xf>
    <xf numFmtId="0" fontId="2" fillId="0" borderId="73" xfId="0" applyFont="1" applyFill="1" applyBorder="1" applyAlignment="1" applyProtection="1">
      <alignment/>
      <protection/>
    </xf>
    <xf numFmtId="0" fontId="8" fillId="0" borderId="73" xfId="0" applyFont="1" applyBorder="1" applyAlignment="1">
      <alignment/>
    </xf>
    <xf numFmtId="0" fontId="8" fillId="0" borderId="75" xfId="0" applyFont="1" applyBorder="1" applyAlignment="1">
      <alignment/>
    </xf>
    <xf numFmtId="0" fontId="28" fillId="0" borderId="0" xfId="0" applyFont="1" applyAlignment="1">
      <alignment/>
    </xf>
    <xf numFmtId="0" fontId="23" fillId="0" borderId="0" xfId="0" applyFont="1" applyBorder="1" applyAlignment="1">
      <alignment/>
    </xf>
    <xf numFmtId="0" fontId="27" fillId="0" borderId="0" xfId="0" applyFont="1" applyBorder="1" applyAlignment="1">
      <alignment horizontal="left" indent="1"/>
    </xf>
    <xf numFmtId="0" fontId="9" fillId="0" borderId="0" xfId="0" applyFont="1" applyBorder="1" applyAlignment="1">
      <alignment horizontal="left" indent="2"/>
    </xf>
    <xf numFmtId="0" fontId="10" fillId="0" borderId="0" xfId="0" applyFont="1" applyBorder="1" applyAlignment="1">
      <alignment/>
    </xf>
    <xf numFmtId="0" fontId="0" fillId="0" borderId="85" xfId="0" applyBorder="1" applyAlignment="1">
      <alignment/>
    </xf>
    <xf numFmtId="0" fontId="8" fillId="0" borderId="85" xfId="0" applyFont="1" applyBorder="1" applyAlignment="1">
      <alignment/>
    </xf>
    <xf numFmtId="0" fontId="44" fillId="0" borderId="0" xfId="0" applyFont="1" applyBorder="1" applyAlignment="1">
      <alignment/>
    </xf>
    <xf numFmtId="0" fontId="0" fillId="0" borderId="86" xfId="0" applyBorder="1" applyAlignment="1">
      <alignment/>
    </xf>
    <xf numFmtId="0" fontId="0" fillId="0" borderId="87" xfId="0" applyBorder="1" applyAlignment="1">
      <alignment/>
    </xf>
    <xf numFmtId="0" fontId="8" fillId="5" borderId="88" xfId="0" applyFont="1" applyFill="1" applyBorder="1" applyAlignment="1" applyProtection="1">
      <alignment/>
      <protection locked="0"/>
    </xf>
    <xf numFmtId="0" fontId="9" fillId="5" borderId="29" xfId="0" applyFont="1" applyFill="1" applyBorder="1" applyAlignment="1" applyProtection="1">
      <alignment horizontal="center"/>
      <protection locked="0"/>
    </xf>
    <xf numFmtId="0" fontId="24" fillId="0" borderId="89" xfId="0" applyFont="1" applyFill="1" applyBorder="1" applyAlignment="1">
      <alignment/>
    </xf>
    <xf numFmtId="0" fontId="9" fillId="0" borderId="90" xfId="0" applyFont="1" applyFill="1" applyBorder="1" applyAlignment="1">
      <alignment/>
    </xf>
    <xf numFmtId="0" fontId="0" fillId="0" borderId="90" xfId="0" applyFill="1" applyBorder="1" applyAlignment="1">
      <alignment/>
    </xf>
    <xf numFmtId="0" fontId="0" fillId="0" borderId="91" xfId="0" applyFill="1" applyBorder="1" applyAlignment="1">
      <alignment/>
    </xf>
    <xf numFmtId="0" fontId="9" fillId="0" borderId="92" xfId="0" applyFont="1" applyFill="1" applyBorder="1" applyAlignment="1">
      <alignment/>
    </xf>
    <xf numFmtId="0" fontId="9" fillId="0" borderId="0" xfId="0" applyFont="1" applyFill="1" applyBorder="1" applyAlignment="1">
      <alignment/>
    </xf>
    <xf numFmtId="0" fontId="0" fillId="0" borderId="93" xfId="0" applyFill="1" applyBorder="1" applyAlignment="1">
      <alignment/>
    </xf>
    <xf numFmtId="0" fontId="0" fillId="0" borderId="92" xfId="0" applyFill="1" applyBorder="1" applyAlignment="1">
      <alignment/>
    </xf>
    <xf numFmtId="0" fontId="9" fillId="0" borderId="94" xfId="0" applyFont="1" applyFill="1" applyBorder="1" applyAlignment="1">
      <alignment/>
    </xf>
    <xf numFmtId="0" fontId="9" fillId="0" borderId="95" xfId="0" applyFont="1" applyFill="1" applyBorder="1" applyAlignment="1">
      <alignment/>
    </xf>
    <xf numFmtId="0" fontId="0" fillId="0" borderId="95" xfId="0" applyFill="1" applyBorder="1" applyAlignment="1">
      <alignment/>
    </xf>
    <xf numFmtId="0" fontId="0" fillId="0" borderId="96" xfId="0" applyFill="1" applyBorder="1" applyAlignment="1">
      <alignment/>
    </xf>
    <xf numFmtId="0" fontId="9" fillId="3" borderId="97" xfId="0" applyFont="1" applyFill="1" applyBorder="1" applyAlignment="1">
      <alignment/>
    </xf>
    <xf numFmtId="0" fontId="9" fillId="3" borderId="98" xfId="0" applyFont="1" applyFill="1" applyBorder="1" applyAlignment="1">
      <alignment/>
    </xf>
    <xf numFmtId="0" fontId="0" fillId="3" borderId="98" xfId="0" applyFill="1" applyBorder="1" applyAlignment="1">
      <alignment/>
    </xf>
    <xf numFmtId="0" fontId="0" fillId="3" borderId="99" xfId="0" applyFill="1" applyBorder="1" applyAlignment="1">
      <alignment/>
    </xf>
    <xf numFmtId="0" fontId="9" fillId="3" borderId="100" xfId="0" applyFont="1" applyFill="1" applyBorder="1" applyAlignment="1">
      <alignment/>
    </xf>
    <xf numFmtId="0" fontId="9" fillId="3" borderId="101" xfId="0" applyFont="1" applyFill="1" applyBorder="1" applyAlignment="1">
      <alignment/>
    </xf>
    <xf numFmtId="0" fontId="0" fillId="3" borderId="101" xfId="0" applyFill="1" applyBorder="1" applyAlignment="1">
      <alignment/>
    </xf>
    <xf numFmtId="0" fontId="0" fillId="3" borderId="102" xfId="0" applyFill="1" applyBorder="1" applyAlignment="1">
      <alignment/>
    </xf>
    <xf numFmtId="0" fontId="8" fillId="5" borderId="103" xfId="0" applyFont="1" applyFill="1" applyBorder="1" applyAlignment="1" applyProtection="1">
      <alignment/>
      <protection locked="0"/>
    </xf>
    <xf numFmtId="0" fontId="8" fillId="5" borderId="104" xfId="0" applyFont="1" applyFill="1" applyBorder="1" applyAlignment="1" applyProtection="1">
      <alignment/>
      <protection locked="0"/>
    </xf>
    <xf numFmtId="0" fontId="2" fillId="0" borderId="0" xfId="0" applyFont="1" applyBorder="1" applyAlignment="1" applyProtection="1">
      <alignment/>
      <protection locked="0"/>
    </xf>
    <xf numFmtId="0" fontId="2" fillId="0" borderId="85" xfId="0" applyFont="1" applyBorder="1" applyAlignment="1" applyProtection="1">
      <alignment/>
      <protection locked="0"/>
    </xf>
    <xf numFmtId="0" fontId="48" fillId="6" borderId="33" xfId="0" applyFont="1" applyFill="1" applyBorder="1" applyAlignment="1">
      <alignment horizontal="center"/>
    </xf>
    <xf numFmtId="0" fontId="7" fillId="0" borderId="0" xfId="0" applyFont="1" applyAlignment="1">
      <alignment horizontal="right"/>
    </xf>
    <xf numFmtId="0" fontId="0" fillId="2" borderId="105" xfId="0" applyFill="1" applyBorder="1" applyAlignment="1" applyProtection="1">
      <alignment/>
      <protection/>
    </xf>
    <xf numFmtId="0" fontId="8" fillId="2" borderId="106" xfId="0" applyFont="1" applyFill="1" applyBorder="1" applyAlignment="1" applyProtection="1">
      <alignment horizontal="centerContinuous"/>
      <protection/>
    </xf>
    <xf numFmtId="0" fontId="8" fillId="2" borderId="107" xfId="0" applyFont="1" applyFill="1" applyBorder="1" applyAlignment="1" applyProtection="1">
      <alignment horizontal="centerContinuous"/>
      <protection/>
    </xf>
    <xf numFmtId="0" fontId="8" fillId="2" borderId="108" xfId="0" applyFont="1" applyFill="1" applyBorder="1" applyAlignment="1" applyProtection="1">
      <alignment horizontal="centerContinuous"/>
      <protection/>
    </xf>
    <xf numFmtId="0" fontId="0" fillId="2" borderId="109" xfId="0" applyFill="1" applyBorder="1" applyAlignment="1" applyProtection="1">
      <alignment/>
      <protection/>
    </xf>
    <xf numFmtId="0" fontId="8" fillId="2" borderId="12" xfId="0" applyFont="1" applyFill="1" applyBorder="1" applyAlignment="1" applyProtection="1">
      <alignment horizontal="centerContinuous"/>
      <protection/>
    </xf>
    <xf numFmtId="0" fontId="8" fillId="2" borderId="24" xfId="0" applyFont="1" applyFill="1" applyBorder="1" applyAlignment="1" applyProtection="1">
      <alignment horizontal="centerContinuous"/>
      <protection/>
    </xf>
    <xf numFmtId="0" fontId="8" fillId="2" borderId="0" xfId="0" applyFont="1" applyFill="1" applyBorder="1" applyAlignment="1" applyProtection="1">
      <alignment horizontal="centerContinuous"/>
      <protection/>
    </xf>
    <xf numFmtId="0" fontId="1" fillId="2" borderId="110" xfId="0" applyFont="1" applyFill="1" applyBorder="1" applyAlignment="1" applyProtection="1">
      <alignment/>
      <protection/>
    </xf>
    <xf numFmtId="0" fontId="19" fillId="0" borderId="0" xfId="0" applyFont="1" applyAlignment="1" applyProtection="1">
      <alignment/>
      <protection/>
    </xf>
    <xf numFmtId="0" fontId="8" fillId="0" borderId="111" xfId="0" applyFont="1" applyBorder="1" applyAlignment="1" applyProtection="1">
      <alignment/>
      <protection/>
    </xf>
    <xf numFmtId="0" fontId="9" fillId="0" borderId="112" xfId="0" applyFont="1" applyBorder="1" applyAlignment="1" applyProtection="1">
      <alignment horizontal="center"/>
      <protection/>
    </xf>
    <xf numFmtId="0" fontId="8" fillId="0" borderId="104" xfId="0" applyFont="1" applyBorder="1" applyAlignment="1" applyProtection="1">
      <alignment/>
      <protection/>
    </xf>
    <xf numFmtId="0" fontId="9" fillId="0" borderId="28" xfId="0" applyFont="1" applyBorder="1" applyAlignment="1" applyProtection="1">
      <alignment horizontal="center"/>
      <protection/>
    </xf>
    <xf numFmtId="0" fontId="9" fillId="0" borderId="113" xfId="0" applyFont="1" applyBorder="1" applyAlignment="1" applyProtection="1">
      <alignment horizontal="center"/>
      <protection/>
    </xf>
    <xf numFmtId="0" fontId="8" fillId="0" borderId="114" xfId="0" applyFont="1" applyBorder="1" applyAlignment="1" applyProtection="1">
      <alignment/>
      <protection/>
    </xf>
    <xf numFmtId="0" fontId="9" fillId="0" borderId="30" xfId="0" applyFont="1" applyBorder="1" applyAlignment="1" applyProtection="1">
      <alignment horizontal="center"/>
      <protection/>
    </xf>
    <xf numFmtId="0" fontId="9" fillId="0" borderId="115" xfId="0" applyFont="1" applyBorder="1" applyAlignment="1" applyProtection="1">
      <alignment horizontal="center"/>
      <protection/>
    </xf>
    <xf numFmtId="0" fontId="50" fillId="0" borderId="0" xfId="0" applyFont="1" applyBorder="1" applyAlignment="1">
      <alignment horizontal="center"/>
    </xf>
    <xf numFmtId="0" fontId="50" fillId="0" borderId="85" xfId="0" applyFont="1" applyBorder="1" applyAlignment="1">
      <alignment horizontal="center"/>
    </xf>
    <xf numFmtId="0" fontId="0" fillId="0" borderId="0" xfId="0" applyAlignment="1">
      <alignment horizontal="left" vertical="top" wrapText="1"/>
    </xf>
    <xf numFmtId="0" fontId="51" fillId="0" borderId="0" xfId="0" applyFont="1" applyAlignment="1">
      <alignment horizontal="center"/>
    </xf>
    <xf numFmtId="0" fontId="0" fillId="0" borderId="85" xfId="0" applyBorder="1" applyAlignment="1">
      <alignment horizontal="left" vertical="top" wrapText="1"/>
    </xf>
    <xf numFmtId="0" fontId="0" fillId="0" borderId="29" xfId="0" applyBorder="1" applyAlignment="1">
      <alignment horizontal="left" vertical="top" wrapText="1"/>
    </xf>
    <xf numFmtId="0" fontId="0" fillId="0" borderId="6" xfId="0" applyBorder="1" applyAlignment="1">
      <alignment horizontal="left" vertical="top" wrapText="1"/>
    </xf>
    <xf numFmtId="0" fontId="1" fillId="0" borderId="6" xfId="0" applyFont="1" applyBorder="1" applyAlignment="1">
      <alignment horizontal="left" vertical="top" wrapText="1"/>
    </xf>
    <xf numFmtId="0" fontId="1" fillId="0" borderId="30" xfId="0" applyFont="1" applyBorder="1" applyAlignment="1">
      <alignment horizontal="left" vertical="top" wrapText="1"/>
    </xf>
    <xf numFmtId="0" fontId="9" fillId="0" borderId="27" xfId="0" applyFont="1" applyBorder="1" applyAlignment="1" applyProtection="1">
      <alignment horizontal="center"/>
      <protection/>
    </xf>
    <xf numFmtId="0" fontId="9" fillId="0" borderId="22" xfId="0" applyFont="1" applyBorder="1" applyAlignment="1" applyProtection="1">
      <alignment horizontal="center"/>
      <protection/>
    </xf>
    <xf numFmtId="0" fontId="9" fillId="5" borderId="27" xfId="0" applyFont="1" applyFill="1" applyBorder="1" applyAlignment="1" applyProtection="1">
      <alignment horizontal="center"/>
      <protection locked="0"/>
    </xf>
    <xf numFmtId="0" fontId="9" fillId="5" borderId="113" xfId="0" applyFont="1" applyFill="1" applyBorder="1" applyAlignment="1" applyProtection="1">
      <alignment horizontal="center"/>
      <protection locked="0"/>
    </xf>
    <xf numFmtId="0" fontId="9" fillId="0" borderId="116" xfId="0" applyFont="1" applyBorder="1" applyAlignment="1" applyProtection="1">
      <alignment horizontal="center"/>
      <protection/>
    </xf>
    <xf numFmtId="0" fontId="9" fillId="0" borderId="117" xfId="0" applyFont="1" applyBorder="1" applyAlignment="1" applyProtection="1">
      <alignment horizontal="center"/>
      <protection/>
    </xf>
    <xf numFmtId="0" fontId="9" fillId="0" borderId="118" xfId="0" applyFont="1" applyBorder="1" applyAlignment="1" applyProtection="1">
      <alignment horizontal="center"/>
      <protection/>
    </xf>
    <xf numFmtId="0" fontId="9" fillId="5" borderId="30" xfId="0" applyFont="1" applyFill="1" applyBorder="1" applyAlignment="1" applyProtection="1">
      <alignment horizontal="center"/>
      <protection locked="0"/>
    </xf>
    <xf numFmtId="0" fontId="9" fillId="5" borderId="22" xfId="0" applyFont="1" applyFill="1" applyBorder="1" applyAlignment="1" applyProtection="1">
      <alignment horizontal="center"/>
      <protection locked="0"/>
    </xf>
    <xf numFmtId="0" fontId="9" fillId="5" borderId="115" xfId="0" applyFont="1" applyFill="1" applyBorder="1" applyAlignment="1" applyProtection="1">
      <alignment horizontal="center"/>
      <protection locked="0"/>
    </xf>
    <xf numFmtId="0" fontId="1" fillId="2" borderId="11" xfId="0" applyFont="1" applyFill="1" applyBorder="1" applyAlignment="1" applyProtection="1">
      <alignment horizontal="center" vertical="center"/>
      <protection/>
    </xf>
    <xf numFmtId="0" fontId="7" fillId="0" borderId="0" xfId="0" applyFont="1" applyAlignment="1" applyProtection="1">
      <alignment horizontal="left"/>
      <protection locked="0"/>
    </xf>
    <xf numFmtId="0" fontId="7" fillId="0" borderId="0" xfId="0" applyFont="1" applyAlignment="1">
      <alignment vertical="center"/>
    </xf>
    <xf numFmtId="0" fontId="8" fillId="2" borderId="108" xfId="0" applyFont="1" applyFill="1" applyBorder="1" applyAlignment="1" applyProtection="1">
      <alignment/>
      <protection/>
    </xf>
    <xf numFmtId="0" fontId="8" fillId="2" borderId="0" xfId="0" applyFont="1" applyFill="1" applyBorder="1" applyAlignment="1" applyProtection="1">
      <alignment/>
      <protection/>
    </xf>
    <xf numFmtId="0" fontId="1" fillId="2" borderId="10" xfId="0" applyFont="1" applyFill="1" applyBorder="1" applyAlignment="1" applyProtection="1">
      <alignment horizontal="center" vertical="center"/>
      <protection/>
    </xf>
    <xf numFmtId="0" fontId="9" fillId="0" borderId="85" xfId="0" applyFont="1" applyBorder="1" applyAlignment="1" applyProtection="1">
      <alignment horizontal="center"/>
      <protection/>
    </xf>
    <xf numFmtId="0" fontId="9" fillId="0" borderId="34" xfId="0" applyFont="1" applyBorder="1" applyAlignment="1" applyProtection="1">
      <alignment horizontal="center"/>
      <protection/>
    </xf>
    <xf numFmtId="0" fontId="9" fillId="0" borderId="119" xfId="0" applyFont="1" applyBorder="1" applyAlignment="1" applyProtection="1">
      <alignment horizontal="center"/>
      <protection/>
    </xf>
    <xf numFmtId="0" fontId="9" fillId="5" borderId="85" xfId="0" applyFont="1" applyFill="1" applyBorder="1" applyAlignment="1" applyProtection="1">
      <alignment horizontal="center"/>
      <protection locked="0"/>
    </xf>
    <xf numFmtId="0" fontId="9" fillId="5" borderId="34" xfId="0" applyFont="1" applyFill="1" applyBorder="1" applyAlignment="1" applyProtection="1">
      <alignment horizontal="center"/>
      <protection locked="0"/>
    </xf>
    <xf numFmtId="0" fontId="1" fillId="2" borderId="120" xfId="0" applyFont="1" applyFill="1" applyBorder="1" applyAlignment="1" applyProtection="1">
      <alignment horizontal="center"/>
      <protection/>
    </xf>
    <xf numFmtId="0" fontId="9" fillId="5" borderId="28" xfId="0" applyFont="1" applyFill="1" applyBorder="1" applyAlignment="1" applyProtection="1">
      <alignment horizontal="center"/>
      <protection locked="0"/>
    </xf>
    <xf numFmtId="0" fontId="8" fillId="2" borderId="121" xfId="0" applyFont="1" applyFill="1" applyBorder="1" applyAlignment="1" applyProtection="1">
      <alignment/>
      <protection/>
    </xf>
    <xf numFmtId="0" fontId="8" fillId="2" borderId="122" xfId="0" applyFont="1" applyFill="1" applyBorder="1" applyAlignment="1" applyProtection="1">
      <alignment/>
      <protection/>
    </xf>
    <xf numFmtId="0" fontId="1" fillId="2" borderId="123"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protection/>
    </xf>
    <xf numFmtId="0" fontId="1" fillId="2" borderId="25" xfId="0" applyFont="1" applyFill="1" applyBorder="1" applyAlignment="1" applyProtection="1">
      <alignment horizontal="center" vertical="center"/>
      <protection/>
    </xf>
    <xf numFmtId="0" fontId="9" fillId="0" borderId="47" xfId="0" applyFont="1" applyBorder="1" applyAlignment="1" applyProtection="1">
      <alignment horizontal="center"/>
      <protection/>
    </xf>
    <xf numFmtId="0" fontId="9" fillId="0" borderId="14" xfId="0" applyFont="1" applyBorder="1" applyAlignment="1" applyProtection="1">
      <alignment horizontal="center"/>
      <protection/>
    </xf>
    <xf numFmtId="0" fontId="9" fillId="0" borderId="124" xfId="0" applyFont="1" applyBorder="1" applyAlignment="1" applyProtection="1">
      <alignment horizontal="center"/>
      <protection/>
    </xf>
    <xf numFmtId="0" fontId="9" fillId="5" borderId="47" xfId="0" applyFont="1" applyFill="1" applyBorder="1" applyAlignment="1" applyProtection="1">
      <alignment horizontal="center"/>
      <protection locked="0"/>
    </xf>
    <xf numFmtId="0" fontId="9" fillId="5" borderId="14" xfId="0" applyFont="1" applyFill="1" applyBorder="1" applyAlignment="1" applyProtection="1">
      <alignment horizontal="center"/>
      <protection locked="0"/>
    </xf>
    <xf numFmtId="0" fontId="39" fillId="0" borderId="0" xfId="0" applyFont="1" applyAlignment="1">
      <alignment/>
    </xf>
    <xf numFmtId="0" fontId="9" fillId="0" borderId="125" xfId="0" applyFont="1" applyBorder="1" applyAlignment="1" applyProtection="1">
      <alignment horizontal="center"/>
      <protection/>
    </xf>
    <xf numFmtId="0" fontId="9" fillId="0" borderId="126" xfId="0" applyFont="1" applyBorder="1" applyAlignment="1" applyProtection="1">
      <alignment horizontal="center"/>
      <protection/>
    </xf>
    <xf numFmtId="0" fontId="9" fillId="0" borderId="127" xfId="0" applyFont="1" applyBorder="1" applyAlignment="1" applyProtection="1">
      <alignment horizontal="center"/>
      <protection/>
    </xf>
    <xf numFmtId="0" fontId="9" fillId="0" borderId="128" xfId="0" applyFont="1" applyBorder="1" applyAlignment="1" applyProtection="1">
      <alignment horizontal="center"/>
      <protection/>
    </xf>
    <xf numFmtId="0" fontId="9" fillId="0" borderId="129" xfId="0" applyFont="1" applyBorder="1" applyAlignment="1" applyProtection="1">
      <alignment horizontal="center"/>
      <protection/>
    </xf>
    <xf numFmtId="0" fontId="8" fillId="5" borderId="114" xfId="0" applyFont="1" applyFill="1" applyBorder="1" applyAlignment="1" applyProtection="1">
      <alignment/>
      <protection locked="0"/>
    </xf>
    <xf numFmtId="0" fontId="8" fillId="0" borderId="130" xfId="0" applyFont="1" applyBorder="1" applyAlignment="1" applyProtection="1">
      <alignment/>
      <protection/>
    </xf>
    <xf numFmtId="0" fontId="8" fillId="5" borderId="131" xfId="0" applyFont="1" applyFill="1" applyBorder="1" applyAlignment="1" applyProtection="1">
      <alignment/>
      <protection locked="0"/>
    </xf>
    <xf numFmtId="0" fontId="9" fillId="5" borderId="132" xfId="0" applyFont="1" applyFill="1" applyBorder="1" applyAlignment="1" applyProtection="1">
      <alignment horizontal="center"/>
      <protection locked="0"/>
    </xf>
    <xf numFmtId="0" fontId="9" fillId="5" borderId="133" xfId="0" applyFont="1" applyFill="1" applyBorder="1" applyAlignment="1" applyProtection="1">
      <alignment horizontal="center"/>
      <protection locked="0"/>
    </xf>
    <xf numFmtId="0" fontId="9" fillId="5" borderId="134" xfId="0" applyFont="1" applyFill="1" applyBorder="1" applyAlignment="1" applyProtection="1">
      <alignment horizontal="center"/>
      <protection locked="0"/>
    </xf>
    <xf numFmtId="0" fontId="9" fillId="5" borderId="135" xfId="0" applyFont="1" applyFill="1" applyBorder="1" applyAlignment="1" applyProtection="1">
      <alignment horizontal="center"/>
      <protection locked="0"/>
    </xf>
    <xf numFmtId="0" fontId="9" fillId="5" borderId="136" xfId="0" applyFont="1" applyFill="1" applyBorder="1" applyAlignment="1" applyProtection="1">
      <alignment horizontal="center"/>
      <protection locked="0"/>
    </xf>
    <xf numFmtId="0" fontId="9" fillId="0" borderId="35" xfId="0" applyFont="1" applyBorder="1" applyAlignment="1" applyProtection="1">
      <alignment/>
      <protection/>
    </xf>
    <xf numFmtId="0" fontId="23"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pplyProtection="1">
      <alignment horizontal="left" indent="1"/>
      <protection hidden="1"/>
    </xf>
    <xf numFmtId="0" fontId="0" fillId="0" borderId="0" xfId="0" applyAlignment="1" applyProtection="1">
      <alignment horizontal="left" vertical="top" wrapText="1" indent="1"/>
      <protection hidden="1"/>
    </xf>
    <xf numFmtId="0" fontId="55" fillId="0" borderId="0" xfId="0" applyFont="1" applyAlignment="1" applyProtection="1">
      <alignment horizontal="center" vertical="top" wrapText="1"/>
      <protection hidden="1"/>
    </xf>
    <xf numFmtId="0" fontId="0" fillId="0" borderId="0" xfId="0" applyAlignment="1" applyProtection="1">
      <alignment horizontal="center" vertical="top" wrapText="1"/>
      <protection hidden="1"/>
    </xf>
    <xf numFmtId="0" fontId="54" fillId="0" borderId="0" xfId="0" applyFont="1" applyAlignment="1" applyProtection="1">
      <alignment horizontal="center" vertical="top" wrapText="1"/>
      <protection hidden="1"/>
    </xf>
    <xf numFmtId="0" fontId="0" fillId="0" borderId="0" xfId="0" applyAlignment="1" applyProtection="1">
      <alignment/>
      <protection hidden="1"/>
    </xf>
    <xf numFmtId="0" fontId="64" fillId="0" borderId="29" xfId="20" applyFont="1" applyBorder="1" applyAlignment="1" applyProtection="1">
      <alignment horizontal="center" vertical="top"/>
      <protection hidden="1"/>
    </xf>
    <xf numFmtId="0" fontId="0" fillId="0" borderId="30" xfId="0" applyBorder="1" applyAlignment="1" applyProtection="1">
      <alignment horizontal="left" vertical="top" wrapText="1"/>
      <protection hidden="1"/>
    </xf>
    <xf numFmtId="0" fontId="9" fillId="0" borderId="0" xfId="0" applyFont="1" applyBorder="1" applyAlignment="1">
      <alignment horizontal="left"/>
    </xf>
    <xf numFmtId="0" fontId="43" fillId="0" borderId="0" xfId="0" applyFont="1" applyFill="1" applyBorder="1" applyAlignment="1" applyProtection="1">
      <alignment horizontal="centerContinuous"/>
      <protection hidden="1"/>
    </xf>
    <xf numFmtId="0" fontId="7" fillId="0" borderId="0" xfId="0" applyFont="1" applyAlignment="1" applyProtection="1">
      <alignment/>
      <protection hidden="1"/>
    </xf>
    <xf numFmtId="165" fontId="12" fillId="0" borderId="0" xfId="0" applyNumberFormat="1" applyFont="1" applyFill="1" applyBorder="1" applyAlignment="1" applyProtection="1">
      <alignment/>
      <protection hidden="1"/>
    </xf>
    <xf numFmtId="0" fontId="66" fillId="0" borderId="0" xfId="0" applyFont="1" applyAlignment="1">
      <alignment/>
    </xf>
    <xf numFmtId="0" fontId="7" fillId="0" borderId="0" xfId="0" applyFont="1" applyAlignment="1" applyProtection="1">
      <alignment/>
      <protection hidden="1" locked="0"/>
    </xf>
    <xf numFmtId="0" fontId="8" fillId="3" borderId="104" xfId="0" applyFont="1" applyFill="1" applyBorder="1" applyAlignment="1" applyProtection="1">
      <alignment/>
      <protection/>
    </xf>
    <xf numFmtId="0" fontId="0" fillId="0" borderId="137" xfId="0" applyBorder="1" applyAlignment="1">
      <alignment vertical="center"/>
    </xf>
    <xf numFmtId="0" fontId="10" fillId="3" borderId="137" xfId="0" applyFont="1" applyFill="1" applyBorder="1" applyAlignment="1">
      <alignment vertical="center"/>
    </xf>
    <xf numFmtId="0" fontId="0" fillId="0" borderId="138" xfId="0" applyBorder="1" applyAlignment="1">
      <alignment vertical="center"/>
    </xf>
    <xf numFmtId="0" fontId="10" fillId="3" borderId="139" xfId="0" applyFont="1" applyFill="1" applyBorder="1" applyAlignment="1">
      <alignment vertical="center"/>
    </xf>
    <xf numFmtId="0" fontId="0" fillId="0" borderId="0" xfId="0" applyFont="1" applyBorder="1" applyAlignment="1">
      <alignment horizontal="center"/>
    </xf>
    <xf numFmtId="0" fontId="0" fillId="0" borderId="0" xfId="0" applyAlignment="1">
      <alignment horizontal="center"/>
    </xf>
    <xf numFmtId="0" fontId="50" fillId="0" borderId="0" xfId="0" applyFont="1" applyBorder="1" applyAlignment="1">
      <alignment horizontal="center"/>
    </xf>
    <xf numFmtId="0" fontId="50" fillId="0" borderId="85" xfId="0" applyFont="1" applyBorder="1" applyAlignment="1">
      <alignment horizontal="center"/>
    </xf>
    <xf numFmtId="0" fontId="1" fillId="0" borderId="0" xfId="0" applyFont="1" applyAlignment="1">
      <alignment horizontal="center"/>
    </xf>
    <xf numFmtId="0" fontId="9" fillId="3" borderId="6" xfId="0" applyFont="1" applyFill="1" applyBorder="1" applyAlignment="1">
      <alignment horizontal="center" vertical="center"/>
    </xf>
    <xf numFmtId="0" fontId="0" fillId="0" borderId="46" xfId="0" applyBorder="1" applyAlignment="1">
      <alignment horizontal="center" vertical="center"/>
    </xf>
    <xf numFmtId="0" fontId="13" fillId="3" borderId="140" xfId="0" applyFont="1" applyFill="1" applyBorder="1" applyAlignment="1">
      <alignment vertical="center"/>
    </xf>
    <xf numFmtId="0" fontId="0" fillId="0" borderId="141" xfId="0" applyBorder="1" applyAlignment="1">
      <alignment vertical="center"/>
    </xf>
    <xf numFmtId="0" fontId="13" fillId="3" borderId="142" xfId="0" applyFont="1" applyFill="1" applyBorder="1" applyAlignment="1">
      <alignment vertical="center"/>
    </xf>
    <xf numFmtId="0" fontId="13" fillId="3" borderId="143" xfId="0" applyFont="1" applyFill="1" applyBorder="1" applyAlignment="1">
      <alignment vertical="center"/>
    </xf>
    <xf numFmtId="0" fontId="0" fillId="0" borderId="144" xfId="0" applyBorder="1" applyAlignment="1">
      <alignment vertical="center"/>
    </xf>
    <xf numFmtId="0" fontId="9" fillId="3" borderId="29" xfId="0" applyFont="1" applyFill="1" applyBorder="1" applyAlignment="1">
      <alignment horizontal="center" vertical="center"/>
    </xf>
    <xf numFmtId="0" fontId="0" fillId="0" borderId="30" xfId="0" applyBorder="1" applyAlignment="1">
      <alignment horizontal="center" vertical="center"/>
    </xf>
    <xf numFmtId="0" fontId="9" fillId="3" borderId="43" xfId="0" applyFont="1" applyFill="1" applyBorder="1" applyAlignment="1">
      <alignment horizontal="center" vertical="center"/>
    </xf>
    <xf numFmtId="0" fontId="0" fillId="0" borderId="29" xfId="0" applyBorder="1" applyAlignment="1" applyProtection="1">
      <alignment horizontal="center" vertical="center"/>
      <protection locked="0"/>
    </xf>
    <xf numFmtId="0" fontId="0" fillId="0" borderId="46" xfId="0" applyBorder="1" applyAlignment="1" applyProtection="1">
      <alignment vertical="center"/>
      <protection locked="0"/>
    </xf>
    <xf numFmtId="0" fontId="0" fillId="0" borderId="43" xfId="0" applyBorder="1" applyAlignment="1" applyProtection="1">
      <alignment horizontal="center" vertical="center"/>
      <protection locked="0"/>
    </xf>
    <xf numFmtId="0" fontId="0" fillId="0" borderId="30" xfId="0" applyBorder="1" applyAlignment="1" applyProtection="1">
      <alignment vertical="center"/>
      <protection locked="0"/>
    </xf>
    <xf numFmtId="0" fontId="1" fillId="2" borderId="51" xfId="0" applyFont="1" applyFill="1" applyBorder="1" applyAlignment="1" applyProtection="1">
      <alignment horizontal="center"/>
      <protection/>
    </xf>
    <xf numFmtId="0" fontId="0" fillId="0" borderId="45" xfId="0" applyBorder="1" applyAlignment="1" applyProtection="1">
      <alignment horizontal="center"/>
      <protection/>
    </xf>
    <xf numFmtId="0" fontId="0" fillId="0" borderId="48" xfId="0" applyBorder="1" applyAlignment="1" applyProtection="1">
      <alignment horizontal="center"/>
      <protection/>
    </xf>
    <xf numFmtId="0" fontId="10" fillId="2" borderId="10" xfId="0" applyFont="1" applyFill="1" applyBorder="1" applyAlignment="1" applyProtection="1">
      <alignment horizontal="center"/>
      <protection/>
    </xf>
    <xf numFmtId="0" fontId="9" fillId="2" borderId="25"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0" borderId="45" xfId="0" applyBorder="1" applyAlignment="1">
      <alignment horizontal="center"/>
    </xf>
    <xf numFmtId="0" fontId="49" fillId="6" borderId="12" xfId="0" applyFont="1" applyFill="1" applyBorder="1" applyAlignment="1">
      <alignment horizontal="right"/>
    </xf>
    <xf numFmtId="0" fontId="49" fillId="6" borderId="0" xfId="0" applyFont="1" applyFill="1" applyBorder="1" applyAlignment="1">
      <alignment horizontal="right"/>
    </xf>
    <xf numFmtId="0" fontId="26" fillId="6" borderId="22" xfId="0" applyFont="1" applyFill="1" applyBorder="1" applyAlignment="1">
      <alignment horizontal="right"/>
    </xf>
    <xf numFmtId="0" fontId="26" fillId="6" borderId="85" xfId="0" applyFont="1" applyFill="1" applyBorder="1" applyAlignment="1">
      <alignment horizontal="right"/>
    </xf>
    <xf numFmtId="0" fontId="10" fillId="6" borderId="31" xfId="0" applyFont="1" applyFill="1" applyBorder="1" applyAlignment="1">
      <alignment horizontal="right"/>
    </xf>
    <xf numFmtId="0" fontId="10" fillId="6" borderId="32" xfId="0" applyFont="1" applyFill="1" applyBorder="1" applyAlignment="1">
      <alignment horizontal="right"/>
    </xf>
    <xf numFmtId="0" fontId="5" fillId="0" borderId="12" xfId="0" applyFont="1" applyBorder="1" applyAlignment="1">
      <alignment horizontal="center"/>
    </xf>
    <xf numFmtId="0" fontId="9" fillId="5" borderId="27" xfId="0" applyNumberFormat="1" applyFont="1" applyFill="1" applyBorder="1" applyAlignment="1">
      <alignment horizontal="center"/>
    </xf>
    <xf numFmtId="0" fontId="0" fillId="0" borderId="145" xfId="0" applyBorder="1" applyAlignment="1">
      <alignment horizontal="center"/>
    </xf>
    <xf numFmtId="0" fontId="9" fillId="5" borderId="59" xfId="0" applyNumberFormat="1" applyFont="1" applyFill="1" applyBorder="1" applyAlignment="1">
      <alignment horizontal="center"/>
    </xf>
    <xf numFmtId="0" fontId="0" fillId="0" borderId="146" xfId="0" applyBorder="1" applyAlignment="1">
      <alignment horizontal="center"/>
    </xf>
    <xf numFmtId="0" fontId="10" fillId="2" borderId="12" xfId="0" applyFont="1" applyFill="1" applyBorder="1" applyAlignment="1">
      <alignment horizontal="center"/>
    </xf>
    <xf numFmtId="0" fontId="10" fillId="2" borderId="24" xfId="0" applyFont="1" applyFill="1" applyBorder="1" applyAlignment="1">
      <alignment horizontal="center"/>
    </xf>
    <xf numFmtId="0" fontId="1" fillId="2" borderId="18" xfId="0" applyFont="1" applyFill="1" applyBorder="1" applyAlignment="1">
      <alignment horizontal="center"/>
    </xf>
    <xf numFmtId="0" fontId="0" fillId="0" borderId="23" xfId="0" applyBorder="1" applyAlignment="1">
      <alignment horizontal="center"/>
    </xf>
    <xf numFmtId="0" fontId="2" fillId="2" borderId="13" xfId="0" applyFont="1" applyFill="1" applyBorder="1" applyAlignment="1">
      <alignment horizontal="center"/>
    </xf>
    <xf numFmtId="0" fontId="0" fillId="0" borderId="147" xfId="0" applyBorder="1" applyAlignment="1">
      <alignment horizontal="center"/>
    </xf>
    <xf numFmtId="0" fontId="8" fillId="2" borderId="18" xfId="0" applyFont="1" applyFill="1" applyBorder="1" applyAlignment="1">
      <alignment horizontal="right" vertical="top"/>
    </xf>
    <xf numFmtId="0" fontId="8" fillId="0" borderId="148" xfId="0" applyFont="1" applyBorder="1" applyAlignment="1">
      <alignment horizontal="right" vertical="top"/>
    </xf>
    <xf numFmtId="0" fontId="0" fillId="0" borderId="12" xfId="0" applyBorder="1" applyAlignment="1">
      <alignment horizontal="right" vertical="top"/>
    </xf>
    <xf numFmtId="0" fontId="0" fillId="0" borderId="149" xfId="0" applyBorder="1" applyAlignment="1">
      <alignment horizontal="right" vertical="top"/>
    </xf>
    <xf numFmtId="0" fontId="9" fillId="5" borderId="26" xfId="0" applyNumberFormat="1" applyFont="1" applyFill="1" applyBorder="1" applyAlignment="1">
      <alignment horizontal="center"/>
    </xf>
    <xf numFmtId="0" fontId="0" fillId="0" borderId="150" xfId="0" applyBorder="1" applyAlignment="1">
      <alignment horizontal="center"/>
    </xf>
    <xf numFmtId="0" fontId="9" fillId="5" borderId="27" xfId="0" applyFont="1" applyFill="1" applyBorder="1" applyAlignment="1">
      <alignment horizontal="center"/>
    </xf>
    <xf numFmtId="0" fontId="0" fillId="0" borderId="14" xfId="0" applyBorder="1" applyAlignment="1">
      <alignment horizontal="center"/>
    </xf>
    <xf numFmtId="0" fontId="1" fillId="2" borderId="13" xfId="0" applyFont="1" applyFill="1" applyBorder="1" applyAlignment="1">
      <alignment horizontal="center"/>
    </xf>
    <xf numFmtId="0" fontId="0" fillId="0" borderId="25" xfId="0" applyBorder="1" applyAlignment="1">
      <alignment horizontal="center"/>
    </xf>
    <xf numFmtId="0" fontId="9" fillId="5" borderId="26" xfId="0" applyFont="1" applyFill="1" applyBorder="1" applyAlignment="1">
      <alignment horizontal="center"/>
    </xf>
    <xf numFmtId="0" fontId="0" fillId="0" borderId="57" xfId="0" applyBorder="1" applyAlignment="1">
      <alignment horizontal="center"/>
    </xf>
    <xf numFmtId="0" fontId="10" fillId="2" borderId="13" xfId="0" applyFont="1" applyFill="1" applyBorder="1" applyAlignment="1">
      <alignment horizontal="center"/>
    </xf>
    <xf numFmtId="0" fontId="10" fillId="2" borderId="25" xfId="0" applyFont="1" applyFill="1" applyBorder="1" applyAlignment="1">
      <alignment horizontal="center"/>
    </xf>
    <xf numFmtId="0" fontId="9" fillId="5" borderId="59" xfId="0" applyFont="1" applyFill="1" applyBorder="1" applyAlignment="1">
      <alignment horizontal="center"/>
    </xf>
    <xf numFmtId="0" fontId="0" fillId="0" borderId="21" xfId="0" applyBorder="1" applyAlignment="1">
      <alignment horizontal="center"/>
    </xf>
    <xf numFmtId="0" fontId="1" fillId="2" borderId="106" xfId="0" applyFont="1" applyFill="1" applyBorder="1" applyAlignment="1" applyProtection="1">
      <alignment horizontal="center"/>
      <protection/>
    </xf>
    <xf numFmtId="0" fontId="1" fillId="2" borderId="107" xfId="0" applyFont="1" applyFill="1" applyBorder="1" applyAlignment="1" applyProtection="1">
      <alignment horizontal="center"/>
      <protection/>
    </xf>
    <xf numFmtId="0" fontId="1" fillId="2" borderId="12" xfId="0" applyFont="1" applyFill="1" applyBorder="1" applyAlignment="1" applyProtection="1">
      <alignment horizontal="center"/>
      <protection/>
    </xf>
    <xf numFmtId="0" fontId="1" fillId="2" borderId="24" xfId="0" applyFont="1" applyFill="1" applyBorder="1" applyAlignment="1" applyProtection="1">
      <alignment horizontal="center"/>
      <protection/>
    </xf>
    <xf numFmtId="0" fontId="2" fillId="0" borderId="73" xfId="0" applyFont="1" applyFill="1" applyBorder="1" applyAlignment="1" applyProtection="1">
      <alignment vertical="center"/>
      <protection/>
    </xf>
    <xf numFmtId="0" fontId="8" fillId="0" borderId="83" xfId="0" applyFont="1" applyBorder="1" applyAlignment="1">
      <alignment horizontal="center"/>
    </xf>
    <xf numFmtId="0" fontId="0" fillId="0" borderId="83" xfId="0" applyBorder="1" applyAlignment="1">
      <alignment horizontal="center"/>
    </xf>
    <xf numFmtId="0" fontId="2" fillId="0" borderId="85" xfId="0" applyFont="1" applyBorder="1" applyAlignment="1">
      <alignment horizontal="center"/>
    </xf>
    <xf numFmtId="0" fontId="2" fillId="0" borderId="32" xfId="0" applyFont="1" applyBorder="1" applyAlignment="1" quotePrefix="1">
      <alignment vertical="center"/>
    </xf>
    <xf numFmtId="0" fontId="2" fillId="0" borderId="0" xfId="0"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1447800</xdr:colOff>
      <xdr:row>1</xdr:row>
      <xdr:rowOff>0</xdr:rowOff>
    </xdr:from>
    <xdr:to>
      <xdr:col>1</xdr:col>
      <xdr:colOff>4371975</xdr:colOff>
      <xdr:row>3</xdr:row>
      <xdr:rowOff>38100</xdr:rowOff>
    </xdr:to>
    <xdr:sp>
      <xdr:nvSpPr>
        <xdr:cNvPr id="1" name="AutoShape 1"/>
        <xdr:cNvSpPr>
          <a:spLocks/>
        </xdr:cNvSpPr>
      </xdr:nvSpPr>
      <xdr:spPr>
        <a:xfrm>
          <a:off x="1695450" y="161925"/>
          <a:ext cx="2924175" cy="428625"/>
        </a:xfrm>
        <a:prstGeom prst="cube">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1895475</xdr:colOff>
      <xdr:row>1</xdr:row>
      <xdr:rowOff>142875</xdr:rowOff>
    </xdr:from>
    <xdr:to>
      <xdr:col>1</xdr:col>
      <xdr:colOff>3829050</xdr:colOff>
      <xdr:row>2</xdr:row>
      <xdr:rowOff>133350</xdr:rowOff>
    </xdr:to>
    <xdr:sp>
      <xdr:nvSpPr>
        <xdr:cNvPr id="2" name="Rectangle 2"/>
        <xdr:cNvSpPr>
          <a:spLocks/>
        </xdr:cNvSpPr>
      </xdr:nvSpPr>
      <xdr:spPr>
        <a:xfrm>
          <a:off x="2143125" y="304800"/>
          <a:ext cx="193357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8000"/>
              </a:solidFill>
            </a:rPr>
            <a:t>Introduction</a:t>
          </a:r>
        </a:p>
      </xdr:txBody>
    </xdr:sp>
    <xdr:clientData/>
  </xdr:twoCellAnchor>
  <xdr:twoCellAnchor editAs="oneCell">
    <xdr:from>
      <xdr:col>1</xdr:col>
      <xdr:colOff>361950</xdr:colOff>
      <xdr:row>1</xdr:row>
      <xdr:rowOff>19050</xdr:rowOff>
    </xdr:from>
    <xdr:to>
      <xdr:col>1</xdr:col>
      <xdr:colOff>1295400</xdr:colOff>
      <xdr:row>3</xdr:row>
      <xdr:rowOff>95250</xdr:rowOff>
    </xdr:to>
    <xdr:pic>
      <xdr:nvPicPr>
        <xdr:cNvPr id="3" name="Picture 3"/>
        <xdr:cNvPicPr preferRelativeResize="1">
          <a:picLocks noChangeAspect="1"/>
        </xdr:cNvPicPr>
      </xdr:nvPicPr>
      <xdr:blipFill>
        <a:blip r:embed="rId1"/>
        <a:stretch>
          <a:fillRect/>
        </a:stretch>
      </xdr:blipFill>
      <xdr:spPr>
        <a:xfrm>
          <a:off x="609600" y="180975"/>
          <a:ext cx="933450" cy="466725"/>
        </a:xfrm>
        <a:prstGeom prst="rect">
          <a:avLst/>
        </a:prstGeom>
        <a:noFill/>
        <a:ln w="9525" cmpd="sng">
          <a:noFill/>
        </a:ln>
      </xdr:spPr>
    </xdr:pic>
    <xdr:clientData/>
  </xdr:twoCellAnchor>
  <xdr:twoCellAnchor>
    <xdr:from>
      <xdr:col>1</xdr:col>
      <xdr:colOff>552450</xdr:colOff>
      <xdr:row>77</xdr:row>
      <xdr:rowOff>38100</xdr:rowOff>
    </xdr:from>
    <xdr:to>
      <xdr:col>1</xdr:col>
      <xdr:colOff>4676775</xdr:colOff>
      <xdr:row>83</xdr:row>
      <xdr:rowOff>76200</xdr:rowOff>
    </xdr:to>
    <xdr:grpSp>
      <xdr:nvGrpSpPr>
        <xdr:cNvPr id="4" name="Group 13"/>
        <xdr:cNvGrpSpPr>
          <a:grpSpLocks/>
        </xdr:cNvGrpSpPr>
      </xdr:nvGrpSpPr>
      <xdr:grpSpPr>
        <a:xfrm>
          <a:off x="800100" y="21088350"/>
          <a:ext cx="4124325" cy="1009650"/>
          <a:chOff x="84" y="1857"/>
          <a:chExt cx="433" cy="106"/>
        </a:xfrm>
        <a:solidFill>
          <a:srgbClr val="FFFFFF"/>
        </a:solidFill>
      </xdr:grpSpPr>
      <xdr:sp>
        <xdr:nvSpPr>
          <xdr:cNvPr id="5" name="TextBox 7"/>
          <xdr:cNvSpPr txBox="1">
            <a:spLocks noChangeArrowheads="1"/>
          </xdr:cNvSpPr>
        </xdr:nvSpPr>
        <xdr:spPr>
          <a:xfrm>
            <a:off x="84" y="1857"/>
            <a:ext cx="433"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Approximate                                      
                                Dimensional Change in
Species                   Thickness             Width                 Final Size</a:t>
            </a:r>
            <a:r>
              <a:rPr lang="en-US" cap="none" sz="1000" b="0" i="0" u="none" baseline="0">
                <a:latin typeface="Arial"/>
                <a:ea typeface="Arial"/>
                <a:cs typeface="Arial"/>
              </a:rPr>
              <a:t>
cedar, incense-          0.009 in              0.103 in            0.741 by 5.397
</a:t>
            </a:r>
            <a:r>
              <a:rPr lang="en-US" cap="none" sz="800" b="0" i="0" u="none" baseline="0">
                <a:latin typeface="Arial"/>
                <a:ea typeface="Arial"/>
                <a:cs typeface="Arial"/>
              </a:rPr>
              <a:t>redwood, young-growth   </a:t>
            </a:r>
            <a:r>
              <a:rPr lang="en-US" cap="none" sz="1000" b="0" i="0" u="none" baseline="0">
                <a:latin typeface="Arial"/>
                <a:ea typeface="Arial"/>
                <a:cs typeface="Arial"/>
              </a:rPr>
              <a:t>0.006 in              0.097 in            0.744 by 5.403
pine, ponderosa         0.010 in              0.123 in            0.740 by 5.377</a:t>
            </a:r>
          </a:p>
        </xdr:txBody>
      </xdr:sp>
      <xdr:grpSp>
        <xdr:nvGrpSpPr>
          <xdr:cNvPr id="6" name="Group 12"/>
          <xdr:cNvGrpSpPr>
            <a:grpSpLocks/>
          </xdr:cNvGrpSpPr>
        </xdr:nvGrpSpPr>
        <xdr:grpSpPr>
          <a:xfrm>
            <a:off x="85" y="1858"/>
            <a:ext cx="432" cy="105"/>
            <a:chOff x="85" y="1858"/>
            <a:chExt cx="432" cy="105"/>
          </a:xfrm>
          <a:solidFill>
            <a:srgbClr val="FFFFFF"/>
          </a:solidFill>
        </xdr:grpSpPr>
        <xdr:sp>
          <xdr:nvSpPr>
            <xdr:cNvPr id="7" name="Line 8"/>
            <xdr:cNvSpPr>
              <a:spLocks/>
            </xdr:cNvSpPr>
          </xdr:nvSpPr>
          <xdr:spPr>
            <a:xfrm>
              <a:off x="85" y="1908"/>
              <a:ext cx="4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9"/>
            <xdr:cNvSpPr>
              <a:spLocks/>
            </xdr:cNvSpPr>
          </xdr:nvSpPr>
          <xdr:spPr>
            <a:xfrm>
              <a:off x="208" y="1858"/>
              <a:ext cx="0" cy="10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
            <xdr:cNvSpPr>
              <a:spLocks/>
            </xdr:cNvSpPr>
          </xdr:nvSpPr>
          <xdr:spPr>
            <a:xfrm>
              <a:off x="290" y="1908"/>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1"/>
            <xdr:cNvSpPr>
              <a:spLocks/>
            </xdr:cNvSpPr>
          </xdr:nvSpPr>
          <xdr:spPr>
            <a:xfrm>
              <a:off x="389" y="1858"/>
              <a:ext cx="0" cy="10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oneCell">
    <xdr:from>
      <xdr:col>1</xdr:col>
      <xdr:colOff>238125</xdr:colOff>
      <xdr:row>28</xdr:row>
      <xdr:rowOff>28575</xdr:rowOff>
    </xdr:from>
    <xdr:to>
      <xdr:col>1</xdr:col>
      <xdr:colOff>4876800</xdr:colOff>
      <xdr:row>31</xdr:row>
      <xdr:rowOff>123825</xdr:rowOff>
    </xdr:to>
    <xdr:pic>
      <xdr:nvPicPr>
        <xdr:cNvPr id="11" name="Picture 15"/>
        <xdr:cNvPicPr preferRelativeResize="1">
          <a:picLocks noChangeAspect="1"/>
        </xdr:cNvPicPr>
      </xdr:nvPicPr>
      <xdr:blipFill>
        <a:blip r:embed="rId2"/>
        <a:stretch>
          <a:fillRect/>
        </a:stretch>
      </xdr:blipFill>
      <xdr:spPr>
        <a:xfrm>
          <a:off x="485775" y="6915150"/>
          <a:ext cx="46386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xdr:row>
      <xdr:rowOff>95250</xdr:rowOff>
    </xdr:from>
    <xdr:to>
      <xdr:col>7</xdr:col>
      <xdr:colOff>504825</xdr:colOff>
      <xdr:row>4</xdr:row>
      <xdr:rowOff>9525</xdr:rowOff>
    </xdr:to>
    <xdr:sp>
      <xdr:nvSpPr>
        <xdr:cNvPr id="1" name="AutoShape 1"/>
        <xdr:cNvSpPr>
          <a:spLocks/>
        </xdr:cNvSpPr>
      </xdr:nvSpPr>
      <xdr:spPr>
        <a:xfrm>
          <a:off x="1447800" y="219075"/>
          <a:ext cx="2924175" cy="400050"/>
        </a:xfrm>
        <a:prstGeom prst="cube">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76200</xdr:rowOff>
    </xdr:from>
    <xdr:to>
      <xdr:col>6</xdr:col>
      <xdr:colOff>571500</xdr:colOff>
      <xdr:row>3</xdr:row>
      <xdr:rowOff>133350</xdr:rowOff>
    </xdr:to>
    <xdr:sp>
      <xdr:nvSpPr>
        <xdr:cNvPr id="2" name="Rectangle 2"/>
        <xdr:cNvSpPr>
          <a:spLocks/>
        </xdr:cNvSpPr>
      </xdr:nvSpPr>
      <xdr:spPr>
        <a:xfrm>
          <a:off x="1895475" y="361950"/>
          <a:ext cx="193357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8000"/>
              </a:solidFill>
            </a:rPr>
            <a:t>Instructions for "wood.xls"</a:t>
          </a:r>
        </a:p>
      </xdr:txBody>
    </xdr:sp>
    <xdr:clientData/>
  </xdr:twoCellAnchor>
  <xdr:twoCellAnchor editAs="oneCell">
    <xdr:from>
      <xdr:col>1</xdr:col>
      <xdr:colOff>152400</xdr:colOff>
      <xdr:row>1</xdr:row>
      <xdr:rowOff>114300</xdr:rowOff>
    </xdr:from>
    <xdr:to>
      <xdr:col>2</xdr:col>
      <xdr:colOff>476250</xdr:colOff>
      <xdr:row>5</xdr:row>
      <xdr:rowOff>0</xdr:rowOff>
    </xdr:to>
    <xdr:pic>
      <xdr:nvPicPr>
        <xdr:cNvPr id="3" name="Picture 4"/>
        <xdr:cNvPicPr preferRelativeResize="1">
          <a:picLocks noChangeAspect="1"/>
        </xdr:cNvPicPr>
      </xdr:nvPicPr>
      <xdr:blipFill>
        <a:blip r:embed="rId1"/>
        <a:stretch>
          <a:fillRect/>
        </a:stretch>
      </xdr:blipFill>
      <xdr:spPr>
        <a:xfrm>
          <a:off x="361950" y="238125"/>
          <a:ext cx="9334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47625</xdr:rowOff>
    </xdr:from>
    <xdr:to>
      <xdr:col>13</xdr:col>
      <xdr:colOff>447675</xdr:colOff>
      <xdr:row>2</xdr:row>
      <xdr:rowOff>104775</xdr:rowOff>
    </xdr:to>
    <xdr:grpSp>
      <xdr:nvGrpSpPr>
        <xdr:cNvPr id="1" name="Group 24"/>
        <xdr:cNvGrpSpPr>
          <a:grpSpLocks/>
        </xdr:cNvGrpSpPr>
      </xdr:nvGrpSpPr>
      <xdr:grpSpPr>
        <a:xfrm>
          <a:off x="1219200" y="47625"/>
          <a:ext cx="4581525" cy="381000"/>
          <a:chOff x="48" y="5"/>
          <a:chExt cx="544" cy="40"/>
        </a:xfrm>
        <a:solidFill>
          <a:srgbClr val="FFFFFF"/>
        </a:solidFill>
      </xdr:grpSpPr>
      <xdr:sp>
        <xdr:nvSpPr>
          <xdr:cNvPr id="2" name="AutoShape 11"/>
          <xdr:cNvSpPr>
            <a:spLocks/>
          </xdr:cNvSpPr>
        </xdr:nvSpPr>
        <xdr:spPr>
          <a:xfrm>
            <a:off x="48" y="5"/>
            <a:ext cx="544" cy="40"/>
          </a:xfrm>
          <a:prstGeom prst="cube">
            <a:avLst/>
          </a:prstGeom>
          <a:blipFill>
            <a:blip r:embed="rId3"/>
            <a:srcRect/>
            <a:stretch>
              <a:fillRect/>
            </a:stretch>
          </a:blipFill>
          <a:ln w="9525" cmpd="sng">
            <a:solidFill>
              <a:srgbClr val="000000"/>
            </a:solidFill>
            <a:headEnd type="none"/>
            <a:tailEnd type="none"/>
          </a:ln>
        </xdr:spPr>
        <xdr:txBody>
          <a:bodyPr vertOverflow="clip" wrap="square"/>
          <a:p>
            <a:pPr algn="ctr">
              <a:defRPr/>
            </a:pPr>
            <a:r>
              <a:rPr lang="en-US" cap="none" sz="1100" b="1" i="0" u="dbl" baseline="0">
                <a:solidFill>
                  <a:srgbClr val="800000"/>
                </a:solidFill>
              </a:rPr>
              <a:t/>
            </a:r>
          </a:p>
        </xdr:txBody>
      </xdr:sp>
      <xdr:sp>
        <xdr:nvSpPr>
          <xdr:cNvPr id="3" name="Rectangle 16"/>
          <xdr:cNvSpPr>
            <a:spLocks/>
          </xdr:cNvSpPr>
        </xdr:nvSpPr>
        <xdr:spPr>
          <a:xfrm>
            <a:off x="170" y="19"/>
            <a:ext cx="285" cy="23"/>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200" b="1" i="0" u="none" baseline="0"/>
              <a:t>Dimensional Change in Wood</a:t>
            </a:r>
          </a:p>
        </xdr:txBody>
      </xdr:sp>
    </xdr:grpSp>
    <xdr:clientData/>
  </xdr:twoCellAnchor>
  <xdr:twoCellAnchor editAs="oneCell">
    <xdr:from>
      <xdr:col>1</xdr:col>
      <xdr:colOff>28575</xdr:colOff>
      <xdr:row>0</xdr:row>
      <xdr:rowOff>0</xdr:rowOff>
    </xdr:from>
    <xdr:to>
      <xdr:col>2</xdr:col>
      <xdr:colOff>142875</xdr:colOff>
      <xdr:row>2</xdr:row>
      <xdr:rowOff>142875</xdr:rowOff>
    </xdr:to>
    <xdr:pic>
      <xdr:nvPicPr>
        <xdr:cNvPr id="4" name="Picture 30"/>
        <xdr:cNvPicPr preferRelativeResize="1">
          <a:picLocks noChangeAspect="1"/>
        </xdr:cNvPicPr>
      </xdr:nvPicPr>
      <xdr:blipFill>
        <a:blip r:embed="rId1"/>
        <a:stretch>
          <a:fillRect/>
        </a:stretch>
      </xdr:blipFill>
      <xdr:spPr>
        <a:xfrm>
          <a:off x="238125" y="0"/>
          <a:ext cx="933450" cy="466725"/>
        </a:xfrm>
        <a:prstGeom prst="rect">
          <a:avLst/>
        </a:prstGeom>
        <a:noFill/>
        <a:ln w="9525" cmpd="sng">
          <a:noFill/>
        </a:ln>
      </xdr:spPr>
    </xdr:pic>
    <xdr:clientData/>
  </xdr:twoCellAnchor>
  <xdr:twoCellAnchor editAs="oneCell">
    <xdr:from>
      <xdr:col>11</xdr:col>
      <xdr:colOff>28575</xdr:colOff>
      <xdr:row>16</xdr:row>
      <xdr:rowOff>28575</xdr:rowOff>
    </xdr:from>
    <xdr:to>
      <xdr:col>18</xdr:col>
      <xdr:colOff>38100</xdr:colOff>
      <xdr:row>19</xdr:row>
      <xdr:rowOff>123825</xdr:rowOff>
    </xdr:to>
    <xdr:pic>
      <xdr:nvPicPr>
        <xdr:cNvPr id="5" name="Picture 32"/>
        <xdr:cNvPicPr preferRelativeResize="1">
          <a:picLocks noChangeAspect="1"/>
        </xdr:cNvPicPr>
      </xdr:nvPicPr>
      <xdr:blipFill>
        <a:blip r:embed="rId2"/>
        <a:stretch>
          <a:fillRect/>
        </a:stretch>
      </xdr:blipFill>
      <xdr:spPr>
        <a:xfrm>
          <a:off x="4286250" y="2638425"/>
          <a:ext cx="46386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xdr:row>
      <xdr:rowOff>0</xdr:rowOff>
    </xdr:from>
    <xdr:to>
      <xdr:col>8</xdr:col>
      <xdr:colOff>409575</xdr:colOff>
      <xdr:row>3</xdr:row>
      <xdr:rowOff>104775</xdr:rowOff>
    </xdr:to>
    <xdr:sp>
      <xdr:nvSpPr>
        <xdr:cNvPr id="1" name="AutoShape 8"/>
        <xdr:cNvSpPr>
          <a:spLocks/>
        </xdr:cNvSpPr>
      </xdr:nvSpPr>
      <xdr:spPr>
        <a:xfrm>
          <a:off x="1390650" y="114300"/>
          <a:ext cx="2924175" cy="428625"/>
        </a:xfrm>
        <a:prstGeom prst="cube">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19050</xdr:rowOff>
    </xdr:from>
    <xdr:to>
      <xdr:col>2</xdr:col>
      <xdr:colOff>323850</xdr:colOff>
      <xdr:row>4</xdr:row>
      <xdr:rowOff>0</xdr:rowOff>
    </xdr:to>
    <xdr:pic>
      <xdr:nvPicPr>
        <xdr:cNvPr id="2" name="Picture 9"/>
        <xdr:cNvPicPr preferRelativeResize="1">
          <a:picLocks noChangeAspect="1"/>
        </xdr:cNvPicPr>
      </xdr:nvPicPr>
      <xdr:blipFill>
        <a:blip r:embed="rId1"/>
        <a:stretch>
          <a:fillRect/>
        </a:stretch>
      </xdr:blipFill>
      <xdr:spPr>
        <a:xfrm>
          <a:off x="304800" y="133350"/>
          <a:ext cx="933450" cy="466725"/>
        </a:xfrm>
        <a:prstGeom prst="rect">
          <a:avLst/>
        </a:prstGeom>
        <a:noFill/>
        <a:ln w="9525" cmpd="sng">
          <a:noFill/>
        </a:ln>
      </xdr:spPr>
    </xdr:pic>
    <xdr:clientData/>
  </xdr:twoCellAnchor>
  <xdr:twoCellAnchor>
    <xdr:from>
      <xdr:col>3</xdr:col>
      <xdr:colOff>190500</xdr:colOff>
      <xdr:row>2</xdr:row>
      <xdr:rowOff>0</xdr:rowOff>
    </xdr:from>
    <xdr:to>
      <xdr:col>7</xdr:col>
      <xdr:colOff>523875</xdr:colOff>
      <xdr:row>3</xdr:row>
      <xdr:rowOff>19050</xdr:rowOff>
    </xdr:to>
    <xdr:sp>
      <xdr:nvSpPr>
        <xdr:cNvPr id="3" name="TextBox 10"/>
        <xdr:cNvSpPr txBox="1">
          <a:spLocks noChangeArrowheads="1"/>
        </xdr:cNvSpPr>
      </xdr:nvSpPr>
      <xdr:spPr>
        <a:xfrm>
          <a:off x="1714500" y="276225"/>
          <a:ext cx="21812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Equilibrium Moisture Content (EMC)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7</xdr:col>
      <xdr:colOff>495300</xdr:colOff>
      <xdr:row>2</xdr:row>
      <xdr:rowOff>133350</xdr:rowOff>
    </xdr:to>
    <xdr:sp>
      <xdr:nvSpPr>
        <xdr:cNvPr id="1" name="AutoShape 43"/>
        <xdr:cNvSpPr>
          <a:spLocks/>
        </xdr:cNvSpPr>
      </xdr:nvSpPr>
      <xdr:spPr>
        <a:xfrm>
          <a:off x="1181100" y="28575"/>
          <a:ext cx="2924175" cy="428625"/>
        </a:xfrm>
        <a:prstGeom prst="cube">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95250</xdr:colOff>
      <xdr:row>0</xdr:row>
      <xdr:rowOff>47625</xdr:rowOff>
    </xdr:from>
    <xdr:to>
      <xdr:col>3</xdr:col>
      <xdr:colOff>342900</xdr:colOff>
      <xdr:row>3</xdr:row>
      <xdr:rowOff>28575</xdr:rowOff>
    </xdr:to>
    <xdr:pic>
      <xdr:nvPicPr>
        <xdr:cNvPr id="2" name="Picture 44"/>
        <xdr:cNvPicPr preferRelativeResize="1">
          <a:picLocks noChangeAspect="1"/>
        </xdr:cNvPicPr>
      </xdr:nvPicPr>
      <xdr:blipFill>
        <a:blip r:embed="rId1"/>
        <a:stretch>
          <a:fillRect/>
        </a:stretch>
      </xdr:blipFill>
      <xdr:spPr>
        <a:xfrm>
          <a:off x="95250" y="47625"/>
          <a:ext cx="933450" cy="466725"/>
        </a:xfrm>
        <a:prstGeom prst="rect">
          <a:avLst/>
        </a:prstGeom>
        <a:noFill/>
        <a:ln w="9525" cmpd="sng">
          <a:noFill/>
        </a:ln>
      </xdr:spPr>
    </xdr:pic>
    <xdr:clientData/>
  </xdr:twoCellAnchor>
  <xdr:twoCellAnchor>
    <xdr:from>
      <xdr:col>4</xdr:col>
      <xdr:colOff>114300</xdr:colOff>
      <xdr:row>1</xdr:row>
      <xdr:rowOff>28575</xdr:rowOff>
    </xdr:from>
    <xdr:to>
      <xdr:col>6</xdr:col>
      <xdr:colOff>457200</xdr:colOff>
      <xdr:row>2</xdr:row>
      <xdr:rowOff>57150</xdr:rowOff>
    </xdr:to>
    <xdr:sp>
      <xdr:nvSpPr>
        <xdr:cNvPr id="3" name="TextBox 45"/>
        <xdr:cNvSpPr txBox="1">
          <a:spLocks noChangeArrowheads="1"/>
        </xdr:cNvSpPr>
      </xdr:nvSpPr>
      <xdr:spPr>
        <a:xfrm>
          <a:off x="1790700" y="190500"/>
          <a:ext cx="16383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Specific Gravity &amp; Density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32</xdr:row>
      <xdr:rowOff>114300</xdr:rowOff>
    </xdr:from>
    <xdr:to>
      <xdr:col>2</xdr:col>
      <xdr:colOff>619125</xdr:colOff>
      <xdr:row>35</xdr:row>
      <xdr:rowOff>28575</xdr:rowOff>
    </xdr:to>
    <xdr:grpSp>
      <xdr:nvGrpSpPr>
        <xdr:cNvPr id="1" name="Group 13"/>
        <xdr:cNvGrpSpPr>
          <a:grpSpLocks/>
        </xdr:cNvGrpSpPr>
      </xdr:nvGrpSpPr>
      <xdr:grpSpPr>
        <a:xfrm>
          <a:off x="1352550" y="5438775"/>
          <a:ext cx="238125" cy="466725"/>
          <a:chOff x="142" y="571"/>
          <a:chExt cx="25" cy="49"/>
        </a:xfrm>
        <a:solidFill>
          <a:srgbClr val="FFFFFF"/>
        </a:solidFill>
      </xdr:grpSpPr>
      <xdr:sp>
        <xdr:nvSpPr>
          <xdr:cNvPr id="2" name="AutoShape 8"/>
          <xdr:cNvSpPr>
            <a:spLocks/>
          </xdr:cNvSpPr>
        </xdr:nvSpPr>
        <xdr:spPr>
          <a:xfrm rot="5400000">
            <a:off x="119" y="595"/>
            <a:ext cx="49" cy="0"/>
          </a:xfrm>
          <a:prstGeom prst="straightConnector1">
            <a:avLst>
              <a:gd name="adj1" fmla="val -752041"/>
              <a:gd name="adj2" fmla="val -50004"/>
              <a:gd name="adj3" fmla="val -752041"/>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9"/>
          <xdr:cNvSpPr>
            <a:spLocks/>
          </xdr:cNvSpPr>
        </xdr:nvSpPr>
        <xdr:spPr>
          <a:xfrm>
            <a:off x="142" y="619"/>
            <a:ext cx="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
          <xdr:cNvSpPr>
            <a:spLocks/>
          </xdr:cNvSpPr>
        </xdr:nvSpPr>
        <xdr:spPr>
          <a:xfrm>
            <a:off x="143" y="572"/>
            <a:ext cx="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85725</xdr:colOff>
      <xdr:row>32</xdr:row>
      <xdr:rowOff>114300</xdr:rowOff>
    </xdr:from>
    <xdr:to>
      <xdr:col>5</xdr:col>
      <xdr:colOff>390525</xdr:colOff>
      <xdr:row>35</xdr:row>
      <xdr:rowOff>28575</xdr:rowOff>
    </xdr:to>
    <xdr:grpSp>
      <xdr:nvGrpSpPr>
        <xdr:cNvPr id="5" name="Group 14"/>
        <xdr:cNvGrpSpPr>
          <a:grpSpLocks/>
        </xdr:cNvGrpSpPr>
      </xdr:nvGrpSpPr>
      <xdr:grpSpPr>
        <a:xfrm>
          <a:off x="3105150" y="5438775"/>
          <a:ext cx="304800" cy="466725"/>
          <a:chOff x="326" y="571"/>
          <a:chExt cx="32" cy="49"/>
        </a:xfrm>
        <a:solidFill>
          <a:srgbClr val="FFFFFF"/>
        </a:solidFill>
      </xdr:grpSpPr>
      <xdr:sp>
        <xdr:nvSpPr>
          <xdr:cNvPr id="6" name="AutoShape 7"/>
          <xdr:cNvSpPr>
            <a:spLocks/>
          </xdr:cNvSpPr>
        </xdr:nvSpPr>
        <xdr:spPr>
          <a:xfrm rot="5400000">
            <a:off x="310" y="595"/>
            <a:ext cx="49" cy="0"/>
          </a:xfrm>
          <a:prstGeom prst="straightConnector1">
            <a:avLst>
              <a:gd name="adj1" fmla="val -752041"/>
              <a:gd name="adj2" fmla="val -50004"/>
              <a:gd name="adj3" fmla="val -752041"/>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1"/>
          <xdr:cNvSpPr>
            <a:spLocks/>
          </xdr:cNvSpPr>
        </xdr:nvSpPr>
        <xdr:spPr>
          <a:xfrm>
            <a:off x="326" y="572"/>
            <a:ext cx="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2"/>
          <xdr:cNvSpPr>
            <a:spLocks/>
          </xdr:cNvSpPr>
        </xdr:nvSpPr>
        <xdr:spPr>
          <a:xfrm>
            <a:off x="327" y="619"/>
            <a:ext cx="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prod.org/cdromdemo/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B1:M99"/>
  <sheetViews>
    <sheetView showGridLines="0" workbookViewId="0" topLeftCell="A88">
      <selection activeCell="B6" sqref="B6"/>
    </sheetView>
  </sheetViews>
  <sheetFormatPr defaultColWidth="9.140625" defaultRowHeight="12.75"/>
  <cols>
    <col min="1" max="1" width="3.7109375" style="0" customWidth="1"/>
    <col min="2" max="2" width="80.57421875" style="0" customWidth="1"/>
  </cols>
  <sheetData>
    <row r="1" ht="12.75">
      <c r="B1" s="202"/>
    </row>
    <row r="2" ht="18">
      <c r="B2" s="267"/>
    </row>
    <row r="5" spans="2:8" ht="12.75">
      <c r="B5" s="264" t="s">
        <v>303</v>
      </c>
      <c r="C5" s="264"/>
      <c r="D5" s="264"/>
      <c r="E5" s="264"/>
      <c r="F5" s="264"/>
      <c r="G5" s="264"/>
      <c r="H5" s="264"/>
    </row>
    <row r="6" spans="2:8" ht="12.75">
      <c r="B6" s="265" t="s">
        <v>304</v>
      </c>
      <c r="C6" s="264"/>
      <c r="D6" s="264"/>
      <c r="E6" s="264"/>
      <c r="F6" s="264"/>
      <c r="G6" s="264"/>
      <c r="H6" s="264"/>
    </row>
    <row r="7" spans="2:8" ht="12.75">
      <c r="B7" s="264"/>
      <c r="C7" s="264"/>
      <c r="D7" s="264"/>
      <c r="E7" s="264"/>
      <c r="F7" s="264"/>
      <c r="G7" s="264"/>
      <c r="H7" s="264"/>
    </row>
    <row r="8" spans="2:8" ht="12.75">
      <c r="B8" s="264"/>
      <c r="C8" s="264"/>
      <c r="D8" s="264"/>
      <c r="E8" s="264"/>
      <c r="F8" s="264"/>
      <c r="G8" s="264"/>
      <c r="H8" s="264"/>
    </row>
    <row r="9" spans="2:8" ht="12.75">
      <c r="B9" s="264"/>
      <c r="C9" s="264"/>
      <c r="D9" s="264"/>
      <c r="E9" s="264"/>
      <c r="F9" s="264"/>
      <c r="G9" s="264"/>
      <c r="H9" s="264"/>
    </row>
    <row r="10" spans="2:8" ht="12.75">
      <c r="B10" s="264"/>
      <c r="C10" s="264"/>
      <c r="D10" s="264"/>
      <c r="E10" s="264"/>
      <c r="F10" s="264"/>
      <c r="G10" s="264"/>
      <c r="H10" s="264"/>
    </row>
    <row r="11" spans="2:8" ht="12.75">
      <c r="B11" s="264"/>
      <c r="C11" s="264"/>
      <c r="D11" s="264"/>
      <c r="E11" s="264"/>
      <c r="F11" s="264"/>
      <c r="G11" s="264"/>
      <c r="H11" s="264"/>
    </row>
    <row r="12" spans="2:8" ht="12.75">
      <c r="B12" s="264"/>
      <c r="C12" s="264"/>
      <c r="D12" s="264"/>
      <c r="E12" s="264"/>
      <c r="F12" s="264"/>
      <c r="G12" s="264"/>
      <c r="H12" s="264"/>
    </row>
    <row r="13" spans="2:8" ht="12.75">
      <c r="B13" s="264"/>
      <c r="C13" s="264"/>
      <c r="D13" s="264"/>
      <c r="E13" s="264"/>
      <c r="F13" s="264"/>
      <c r="G13" s="264"/>
      <c r="H13" s="264"/>
    </row>
    <row r="14" spans="2:8" ht="12.75">
      <c r="B14" s="264"/>
      <c r="C14" s="264"/>
      <c r="D14" s="264"/>
      <c r="E14" s="264"/>
      <c r="F14" s="264"/>
      <c r="G14" s="264"/>
      <c r="H14" s="264"/>
    </row>
    <row r="15" spans="2:8" ht="12.75">
      <c r="B15" s="264"/>
      <c r="C15" s="264"/>
      <c r="D15" s="264"/>
      <c r="E15" s="264"/>
      <c r="F15" s="264"/>
      <c r="G15" s="264"/>
      <c r="H15" s="264"/>
    </row>
    <row r="16" spans="2:8" ht="12.75">
      <c r="B16" s="264"/>
      <c r="C16" s="264"/>
      <c r="D16" s="264"/>
      <c r="E16" s="264"/>
      <c r="F16" s="264"/>
      <c r="G16" s="264"/>
      <c r="H16" s="264"/>
    </row>
    <row r="17" spans="2:8" ht="12.75">
      <c r="B17" s="264"/>
      <c r="C17" s="264"/>
      <c r="D17" s="264"/>
      <c r="E17" s="264"/>
      <c r="F17" s="264"/>
      <c r="G17" s="264"/>
      <c r="H17" s="264"/>
    </row>
    <row r="18" spans="2:8" ht="12.75">
      <c r="B18" s="264"/>
      <c r="C18" s="264"/>
      <c r="D18" s="264"/>
      <c r="E18" s="264"/>
      <c r="F18" s="264"/>
      <c r="G18" s="264"/>
      <c r="H18" s="264"/>
    </row>
    <row r="19" spans="2:8" ht="12.75">
      <c r="B19" s="264"/>
      <c r="C19" s="264"/>
      <c r="D19" s="264"/>
      <c r="E19" s="264"/>
      <c r="F19" s="264"/>
      <c r="G19" s="264"/>
      <c r="H19" s="264"/>
    </row>
    <row r="20" spans="3:13" ht="12.75">
      <c r="C20" s="264"/>
      <c r="D20" s="264"/>
      <c r="E20" s="264"/>
      <c r="F20" s="264"/>
      <c r="G20" s="264"/>
      <c r="H20" s="264"/>
      <c r="I20" s="1"/>
      <c r="J20" s="1"/>
      <c r="K20" s="1"/>
      <c r="L20" s="1"/>
      <c r="M20" s="1"/>
    </row>
    <row r="21" spans="3:13" ht="12.75">
      <c r="C21" s="264"/>
      <c r="D21" s="264"/>
      <c r="E21" s="264"/>
      <c r="F21" s="264"/>
      <c r="G21" s="264"/>
      <c r="H21" s="264"/>
      <c r="I21" s="1"/>
      <c r="J21" s="1"/>
      <c r="K21" s="1"/>
      <c r="L21" s="1"/>
      <c r="M21" s="1"/>
    </row>
    <row r="22" spans="3:13" ht="12.75">
      <c r="C22" s="264"/>
      <c r="D22" s="264"/>
      <c r="E22" s="264"/>
      <c r="F22" s="264"/>
      <c r="G22" s="264"/>
      <c r="H22" s="264"/>
      <c r="I22" s="1"/>
      <c r="J22" s="1"/>
      <c r="K22" s="1"/>
      <c r="L22" s="1"/>
      <c r="M22" s="1"/>
    </row>
    <row r="23" ht="116.25" customHeight="1">
      <c r="B23" s="322" t="s">
        <v>305</v>
      </c>
    </row>
    <row r="25" ht="63.75">
      <c r="B25" s="322" t="s">
        <v>306</v>
      </c>
    </row>
    <row r="26" ht="12.75">
      <c r="B26" s="266"/>
    </row>
    <row r="27" ht="38.25">
      <c r="B27" s="322" t="s">
        <v>307</v>
      </c>
    </row>
    <row r="28" ht="12.75">
      <c r="B28" s="266"/>
    </row>
    <row r="29" ht="12.75">
      <c r="B29" s="269"/>
    </row>
    <row r="30" ht="12.75">
      <c r="B30" s="270"/>
    </row>
    <row r="31" ht="12.75">
      <c r="B31" s="270"/>
    </row>
    <row r="32" ht="12.75">
      <c r="B32" s="271"/>
    </row>
    <row r="33" ht="12.75">
      <c r="B33" s="271" t="s">
        <v>337</v>
      </c>
    </row>
    <row r="34" ht="12.75">
      <c r="B34" s="272" t="s">
        <v>338</v>
      </c>
    </row>
    <row r="35" ht="12.75">
      <c r="B35" s="266" t="s">
        <v>339</v>
      </c>
    </row>
    <row r="36" ht="12.75">
      <c r="B36" s="266"/>
    </row>
    <row r="37" ht="38.25">
      <c r="B37" s="322" t="s">
        <v>323</v>
      </c>
    </row>
    <row r="38" ht="12.75">
      <c r="B38" s="266"/>
    </row>
    <row r="39" ht="12.75">
      <c r="B39" s="323" t="s">
        <v>309</v>
      </c>
    </row>
    <row r="40" ht="12.75">
      <c r="B40" s="323" t="s">
        <v>340</v>
      </c>
    </row>
    <row r="41" ht="12.75">
      <c r="B41" s="324" t="s">
        <v>310</v>
      </c>
    </row>
    <row r="42" ht="25.5">
      <c r="B42" s="324" t="s">
        <v>311</v>
      </c>
    </row>
    <row r="43" ht="12.75">
      <c r="B43" s="266" t="s">
        <v>308</v>
      </c>
    </row>
    <row r="44" ht="25.5">
      <c r="B44" s="322" t="s">
        <v>312</v>
      </c>
    </row>
    <row r="45" ht="12.75">
      <c r="B45" s="266"/>
    </row>
    <row r="46" ht="38.25">
      <c r="B46" s="322" t="s">
        <v>324</v>
      </c>
    </row>
    <row r="47" ht="12.75">
      <c r="B47" s="322"/>
    </row>
    <row r="48" ht="51">
      <c r="B48" s="321" t="s">
        <v>325</v>
      </c>
    </row>
    <row r="49" ht="12.75">
      <c r="B49" s="322"/>
    </row>
    <row r="50" ht="156" customHeight="1">
      <c r="B50" s="321" t="s">
        <v>373</v>
      </c>
    </row>
    <row r="51" ht="12.75">
      <c r="B51" s="329" t="s">
        <v>374</v>
      </c>
    </row>
    <row r="52" ht="25.5">
      <c r="B52" s="330" t="s">
        <v>375</v>
      </c>
    </row>
    <row r="53" ht="12.75">
      <c r="B53" s="322"/>
    </row>
    <row r="54" ht="15.75">
      <c r="B54" s="325" t="s">
        <v>326</v>
      </c>
    </row>
    <row r="55" ht="12.75">
      <c r="B55" s="326" t="s">
        <v>313</v>
      </c>
    </row>
    <row r="56" ht="12.75">
      <c r="B56" s="322"/>
    </row>
    <row r="57" ht="12.75">
      <c r="B57" s="322" t="s">
        <v>314</v>
      </c>
    </row>
    <row r="58" ht="12.75">
      <c r="B58" s="322"/>
    </row>
    <row r="59" ht="76.5">
      <c r="B59" s="322" t="s">
        <v>327</v>
      </c>
    </row>
    <row r="60" ht="12.75">
      <c r="B60" s="322"/>
    </row>
    <row r="61" ht="38.25">
      <c r="B61" s="322" t="s">
        <v>315</v>
      </c>
    </row>
    <row r="62" ht="12.75">
      <c r="B62" s="322"/>
    </row>
    <row r="63" ht="25.5">
      <c r="B63" s="322" t="s">
        <v>328</v>
      </c>
    </row>
    <row r="64" ht="12.75">
      <c r="B64" s="322"/>
    </row>
    <row r="65" ht="25.5">
      <c r="B65" s="322" t="s">
        <v>329</v>
      </c>
    </row>
    <row r="66" ht="12.75">
      <c r="B66" s="322"/>
    </row>
    <row r="67" ht="38.25">
      <c r="B67" s="322" t="s">
        <v>330</v>
      </c>
    </row>
    <row r="68" ht="12.75">
      <c r="B68" s="322"/>
    </row>
    <row r="69" ht="51">
      <c r="B69" s="322" t="s">
        <v>331</v>
      </c>
    </row>
    <row r="70" ht="12.75">
      <c r="B70" s="322"/>
    </row>
    <row r="71" ht="25.5">
      <c r="B71" s="322" t="s">
        <v>332</v>
      </c>
    </row>
    <row r="72" ht="12.75">
      <c r="B72" s="322"/>
    </row>
    <row r="73" ht="25.5">
      <c r="B73" s="322" t="s">
        <v>316</v>
      </c>
    </row>
    <row r="74" ht="12.75">
      <c r="B74" s="322"/>
    </row>
    <row r="75" ht="12.75">
      <c r="B75" s="322" t="s">
        <v>333</v>
      </c>
    </row>
    <row r="76" ht="12.75">
      <c r="B76" s="322"/>
    </row>
    <row r="77" ht="25.5">
      <c r="B77" s="322" t="s">
        <v>317</v>
      </c>
    </row>
    <row r="78" ht="12.75">
      <c r="B78" s="322"/>
    </row>
    <row r="79" ht="12.75">
      <c r="B79" s="322"/>
    </row>
    <row r="80" ht="12.75">
      <c r="B80" s="322"/>
    </row>
    <row r="81" ht="12.75">
      <c r="B81" s="322"/>
    </row>
    <row r="82" ht="12.75">
      <c r="B82" s="322"/>
    </row>
    <row r="83" ht="12.75">
      <c r="B83" s="322"/>
    </row>
    <row r="84" ht="12.75">
      <c r="B84" s="322"/>
    </row>
    <row r="85" ht="51">
      <c r="B85" s="322" t="s">
        <v>322</v>
      </c>
    </row>
    <row r="86" ht="12.75">
      <c r="B86" s="327" t="s">
        <v>335</v>
      </c>
    </row>
    <row r="87" ht="12.75">
      <c r="B87" s="328"/>
    </row>
    <row r="88" ht="25.5">
      <c r="B88" s="322" t="s">
        <v>318</v>
      </c>
    </row>
    <row r="89" ht="12.75">
      <c r="B89" s="322"/>
    </row>
    <row r="90" ht="12.75">
      <c r="B90" s="327" t="s">
        <v>336</v>
      </c>
    </row>
    <row r="91" ht="12.75">
      <c r="B91" s="322"/>
    </row>
    <row r="92" ht="25.5">
      <c r="B92" s="322" t="s">
        <v>321</v>
      </c>
    </row>
    <row r="93" ht="12.75">
      <c r="B93" s="322"/>
    </row>
    <row r="94" ht="76.5">
      <c r="B94" s="322" t="s">
        <v>334</v>
      </c>
    </row>
    <row r="95" ht="12.75">
      <c r="B95" s="322"/>
    </row>
    <row r="96" ht="25.5">
      <c r="B96" s="322" t="s">
        <v>319</v>
      </c>
    </row>
    <row r="97" ht="12.75">
      <c r="B97" s="268" t="s">
        <v>320</v>
      </c>
    </row>
    <row r="98" ht="12.75">
      <c r="B98" s="266"/>
    </row>
    <row r="99" ht="12.75">
      <c r="B99" s="266"/>
    </row>
  </sheetData>
  <sheetProtection sheet="1" objects="1" scenarios="1"/>
  <hyperlinks>
    <hyperlink ref="B51" r:id="rId1" display="http://www.forestprod.org/cdromdemo/index.html"/>
  </hyperlinks>
  <printOptions/>
  <pageMargins left="0.75" right="0.75" top="1" bottom="0.5" header="0" footer="0.5"/>
  <pageSetup horizontalDpi="600" verticalDpi="600" orientation="portrait" scale="97" r:id="rId3"/>
  <drawing r:id="rId2"/>
</worksheet>
</file>

<file path=xl/worksheets/sheet2.xml><?xml version="1.0" encoding="utf-8"?>
<worksheet xmlns="http://schemas.openxmlformats.org/spreadsheetml/2006/main" xmlns:r="http://schemas.openxmlformats.org/officeDocument/2006/relationships">
  <sheetPr codeName="Sheet5"/>
  <dimension ref="B2:K62"/>
  <sheetViews>
    <sheetView showGridLines="0" tabSelected="1" workbookViewId="0" topLeftCell="A19">
      <selection activeCell="I28" sqref="I28"/>
    </sheetView>
  </sheetViews>
  <sheetFormatPr defaultColWidth="9.140625" defaultRowHeight="12.75"/>
  <cols>
    <col min="1" max="1" width="3.140625" style="0" customWidth="1"/>
    <col min="10" max="10" width="10.421875" style="0" customWidth="1"/>
    <col min="11" max="11" width="3.00390625" style="0" customWidth="1"/>
  </cols>
  <sheetData>
    <row r="1" ht="9.75" customHeight="1"/>
    <row r="2" spans="2:10" ht="12.75">
      <c r="B2" s="1"/>
      <c r="C2" s="1"/>
      <c r="D2" s="1"/>
      <c r="E2" s="1"/>
      <c r="F2" s="1"/>
      <c r="G2" s="1"/>
      <c r="H2" s="1"/>
      <c r="I2" s="1"/>
      <c r="J2" s="1"/>
    </row>
    <row r="3" spans="2:7" ht="12.75">
      <c r="B3" s="150"/>
      <c r="C3" s="150"/>
      <c r="D3" s="150"/>
      <c r="E3" s="150"/>
      <c r="F3" s="150"/>
      <c r="G3" s="150"/>
    </row>
    <row r="4" spans="2:10" ht="12.75">
      <c r="B4" s="1"/>
      <c r="C4" s="1"/>
      <c r="D4" s="1"/>
      <c r="E4" s="1"/>
      <c r="F4" s="1"/>
      <c r="G4" s="1"/>
      <c r="H4" s="1"/>
      <c r="I4" s="342"/>
      <c r="J4" s="343"/>
    </row>
    <row r="5" spans="2:10" ht="7.5" customHeight="1">
      <c r="B5" s="1"/>
      <c r="C5" s="1"/>
      <c r="D5" s="1"/>
      <c r="E5" s="1"/>
      <c r="F5" s="1"/>
      <c r="G5" s="1"/>
      <c r="H5" s="1"/>
      <c r="I5" s="1"/>
      <c r="J5" s="1"/>
    </row>
    <row r="6" spans="2:10" ht="12.75">
      <c r="B6" s="344" t="s">
        <v>303</v>
      </c>
      <c r="C6" s="344"/>
      <c r="D6" s="344"/>
      <c r="E6" s="344"/>
      <c r="F6" s="344"/>
      <c r="G6" s="344"/>
      <c r="H6" s="344"/>
      <c r="I6" s="1"/>
      <c r="J6" s="1"/>
    </row>
    <row r="7" spans="2:10" ht="9.75" customHeight="1">
      <c r="B7" s="345" t="s">
        <v>304</v>
      </c>
      <c r="C7" s="345"/>
      <c r="D7" s="345"/>
      <c r="E7" s="345"/>
      <c r="F7" s="345"/>
      <c r="G7" s="345"/>
      <c r="H7" s="345"/>
      <c r="I7" s="1"/>
      <c r="J7" s="1"/>
    </row>
    <row r="8" spans="2:10" ht="19.5" customHeight="1">
      <c r="B8" s="193" t="s">
        <v>273</v>
      </c>
      <c r="C8" s="1"/>
      <c r="D8" s="1"/>
      <c r="E8" s="1"/>
      <c r="F8" s="1"/>
      <c r="G8" s="1"/>
      <c r="H8" s="1"/>
      <c r="I8" s="1"/>
      <c r="J8" s="1"/>
    </row>
    <row r="9" spans="2:10" ht="12.75">
      <c r="B9" s="1"/>
      <c r="C9" s="1"/>
      <c r="D9" s="1"/>
      <c r="E9" s="1"/>
      <c r="F9" s="1"/>
      <c r="G9" s="1"/>
      <c r="H9" s="1"/>
      <c r="I9" s="1"/>
      <c r="J9" s="1"/>
    </row>
    <row r="10" spans="2:10" ht="12.75">
      <c r="B10" s="209" t="s">
        <v>202</v>
      </c>
      <c r="C10" s="151"/>
      <c r="D10" s="151"/>
      <c r="E10" s="151"/>
      <c r="F10" s="151"/>
      <c r="G10" s="151"/>
      <c r="H10" s="151"/>
      <c r="I10" s="1"/>
      <c r="J10" s="1"/>
    </row>
    <row r="11" spans="2:10" ht="12.75">
      <c r="B11" s="151" t="s">
        <v>209</v>
      </c>
      <c r="C11" s="151"/>
      <c r="D11" s="151"/>
      <c r="E11" s="151"/>
      <c r="F11" s="151"/>
      <c r="G11" s="151"/>
      <c r="H11" s="151"/>
      <c r="I11" s="1"/>
      <c r="J11" s="1"/>
    </row>
    <row r="12" spans="2:10" ht="12.75">
      <c r="B12" s="151" t="s">
        <v>210</v>
      </c>
      <c r="C12" s="151"/>
      <c r="D12" s="151"/>
      <c r="E12" s="151"/>
      <c r="F12" s="151"/>
      <c r="G12" s="151"/>
      <c r="H12" s="151"/>
      <c r="I12" s="1"/>
      <c r="J12" s="1"/>
    </row>
    <row r="13" spans="2:10" ht="12.75">
      <c r="B13" s="210" t="s">
        <v>270</v>
      </c>
      <c r="C13" s="151"/>
      <c r="D13" s="151"/>
      <c r="E13" s="151"/>
      <c r="F13" s="151"/>
      <c r="G13" s="151"/>
      <c r="H13" s="151"/>
      <c r="I13" s="1"/>
      <c r="J13" s="1"/>
    </row>
    <row r="14" spans="2:10" ht="12.75">
      <c r="B14" s="210" t="s">
        <v>284</v>
      </c>
      <c r="C14" s="151"/>
      <c r="D14" s="151"/>
      <c r="E14" s="151"/>
      <c r="F14" s="151"/>
      <c r="G14" s="151"/>
      <c r="H14" s="151"/>
      <c r="I14" s="1"/>
      <c r="J14" s="1"/>
    </row>
    <row r="15" spans="2:10" ht="12.75">
      <c r="B15" s="211" t="s">
        <v>287</v>
      </c>
      <c r="C15" s="151"/>
      <c r="D15" s="151"/>
      <c r="E15" s="151"/>
      <c r="F15" s="151"/>
      <c r="G15" s="151"/>
      <c r="H15" s="151"/>
      <c r="I15" s="1"/>
      <c r="J15" s="1"/>
    </row>
    <row r="16" spans="2:10" ht="12.75">
      <c r="B16" s="211" t="s">
        <v>269</v>
      </c>
      <c r="C16" s="152"/>
      <c r="D16" s="151"/>
      <c r="E16" s="151"/>
      <c r="F16" s="151"/>
      <c r="G16" s="151"/>
      <c r="H16" s="151"/>
      <c r="I16" s="1"/>
      <c r="J16" s="1"/>
    </row>
    <row r="17" spans="2:10" ht="12.75">
      <c r="B17" s="210" t="s">
        <v>285</v>
      </c>
      <c r="C17" s="152"/>
      <c r="D17" s="151"/>
      <c r="E17" s="151"/>
      <c r="F17" s="151"/>
      <c r="G17" s="151"/>
      <c r="H17" s="151"/>
      <c r="I17" s="1"/>
      <c r="J17" s="1"/>
    </row>
    <row r="18" spans="2:10" ht="12.75">
      <c r="B18" s="211" t="s">
        <v>269</v>
      </c>
      <c r="C18" s="152"/>
      <c r="D18" s="151"/>
      <c r="E18" s="151"/>
      <c r="F18" s="151"/>
      <c r="G18" s="151"/>
      <c r="H18" s="151"/>
      <c r="I18" s="1"/>
      <c r="J18" s="1"/>
    </row>
    <row r="19" spans="2:10" ht="12.75">
      <c r="B19" s="210" t="s">
        <v>286</v>
      </c>
      <c r="C19" s="151"/>
      <c r="D19" s="151"/>
      <c r="E19" s="151"/>
      <c r="F19" s="151"/>
      <c r="G19" s="151"/>
      <c r="H19" s="151"/>
      <c r="I19" s="1"/>
      <c r="J19" s="1"/>
    </row>
    <row r="20" spans="2:11" ht="12.75">
      <c r="B20" s="210" t="s">
        <v>207</v>
      </c>
      <c r="C20" s="151"/>
      <c r="D20" s="151"/>
      <c r="E20" s="151"/>
      <c r="F20" s="151"/>
      <c r="G20" s="151"/>
      <c r="H20" s="151"/>
      <c r="I20" s="1"/>
      <c r="J20" s="1"/>
      <c r="K20" s="1"/>
    </row>
    <row r="21" spans="2:10" ht="13.5" thickBot="1">
      <c r="B21" s="151"/>
      <c r="C21" s="151"/>
      <c r="D21" s="151"/>
      <c r="E21" s="151"/>
      <c r="F21" s="151"/>
      <c r="G21" s="151"/>
      <c r="H21" s="151"/>
      <c r="I21" s="1"/>
      <c r="J21" s="1"/>
    </row>
    <row r="22" spans="2:10" ht="13.5" thickTop="1">
      <c r="B22" s="220" t="s">
        <v>205</v>
      </c>
      <c r="C22" s="221"/>
      <c r="D22" s="221"/>
      <c r="E22" s="221"/>
      <c r="F22" s="221"/>
      <c r="G22" s="221"/>
      <c r="H22" s="221"/>
      <c r="I22" s="222"/>
      <c r="J22" s="223"/>
    </row>
    <row r="23" spans="2:10" ht="12.75">
      <c r="B23" s="224" t="s">
        <v>365</v>
      </c>
      <c r="C23" s="225"/>
      <c r="D23" s="225"/>
      <c r="E23" s="225"/>
      <c r="F23" s="225"/>
      <c r="G23" s="225"/>
      <c r="H23" s="225"/>
      <c r="I23" s="202"/>
      <c r="J23" s="226"/>
    </row>
    <row r="24" spans="2:10" ht="12.75">
      <c r="B24" s="224" t="s">
        <v>362</v>
      </c>
      <c r="C24" s="225"/>
      <c r="D24" s="225"/>
      <c r="E24" s="225"/>
      <c r="F24" s="225"/>
      <c r="G24" s="225"/>
      <c r="H24" s="225"/>
      <c r="I24" s="202"/>
      <c r="J24" s="226"/>
    </row>
    <row r="25" spans="2:10" ht="12.75">
      <c r="B25" s="224" t="s">
        <v>363</v>
      </c>
      <c r="C25" s="225"/>
      <c r="D25" s="225"/>
      <c r="E25" s="225"/>
      <c r="F25" s="225"/>
      <c r="G25" s="225"/>
      <c r="H25" s="225"/>
      <c r="I25" s="202"/>
      <c r="J25" s="226"/>
    </row>
    <row r="26" spans="2:10" ht="12.75">
      <c r="B26" s="224" t="s">
        <v>364</v>
      </c>
      <c r="C26" s="225"/>
      <c r="D26" s="225"/>
      <c r="E26" s="225"/>
      <c r="F26" s="225"/>
      <c r="G26" s="225"/>
      <c r="H26" s="225"/>
      <c r="I26" s="202"/>
      <c r="J26" s="226"/>
    </row>
    <row r="27" spans="2:10" ht="12.75">
      <c r="B27" s="224" t="s">
        <v>366</v>
      </c>
      <c r="C27" s="225"/>
      <c r="D27" s="225"/>
      <c r="E27" s="225"/>
      <c r="F27" s="225"/>
      <c r="G27" s="225"/>
      <c r="H27" s="225"/>
      <c r="I27" s="202"/>
      <c r="J27" s="226"/>
    </row>
    <row r="28" spans="2:10" ht="12.75">
      <c r="B28" s="224" t="s">
        <v>367</v>
      </c>
      <c r="C28" s="225"/>
      <c r="D28" s="225"/>
      <c r="E28" s="225"/>
      <c r="F28" s="225"/>
      <c r="G28" s="225"/>
      <c r="H28" s="225"/>
      <c r="I28" s="202"/>
      <c r="J28" s="226"/>
    </row>
    <row r="29" spans="2:10" ht="12.75">
      <c r="B29" s="224" t="s">
        <v>368</v>
      </c>
      <c r="C29" s="225"/>
      <c r="D29" s="225"/>
      <c r="E29" s="225"/>
      <c r="F29" s="225"/>
      <c r="G29" s="225"/>
      <c r="H29" s="225"/>
      <c r="I29" s="202"/>
      <c r="J29" s="226"/>
    </row>
    <row r="30" spans="2:10" ht="12.75">
      <c r="B30" s="224" t="s">
        <v>369</v>
      </c>
      <c r="C30" s="225"/>
      <c r="D30" s="225"/>
      <c r="E30" s="225"/>
      <c r="F30" s="225"/>
      <c r="G30" s="225"/>
      <c r="H30" s="225"/>
      <c r="I30" s="202"/>
      <c r="J30" s="226"/>
    </row>
    <row r="31" spans="2:10" ht="12.75">
      <c r="B31" s="224" t="s">
        <v>370</v>
      </c>
      <c r="C31" s="225"/>
      <c r="D31" s="225"/>
      <c r="E31" s="225"/>
      <c r="F31" s="225"/>
      <c r="G31" s="225"/>
      <c r="H31" s="225"/>
      <c r="I31" s="202"/>
      <c r="J31" s="226"/>
    </row>
    <row r="32" spans="2:10" ht="12.75">
      <c r="B32" s="224" t="s">
        <v>359</v>
      </c>
      <c r="C32" s="225"/>
      <c r="D32" s="225"/>
      <c r="E32" s="225"/>
      <c r="F32" s="225"/>
      <c r="G32" s="225"/>
      <c r="H32" s="225"/>
      <c r="I32" s="202"/>
      <c r="J32" s="226"/>
    </row>
    <row r="33" spans="2:10" ht="12.75">
      <c r="B33" s="224" t="s">
        <v>360</v>
      </c>
      <c r="C33" s="225"/>
      <c r="D33" s="225"/>
      <c r="E33" s="225"/>
      <c r="F33" s="225"/>
      <c r="G33" s="225"/>
      <c r="H33" s="225"/>
      <c r="I33" s="202"/>
      <c r="J33" s="226"/>
    </row>
    <row r="34" spans="2:10" ht="12.75">
      <c r="B34" s="224" t="s">
        <v>361</v>
      </c>
      <c r="C34" s="225"/>
      <c r="D34" s="225"/>
      <c r="E34" s="225"/>
      <c r="F34" s="225"/>
      <c r="G34" s="225"/>
      <c r="H34" s="225"/>
      <c r="I34" s="202"/>
      <c r="J34" s="226"/>
    </row>
    <row r="35" spans="2:10" ht="12.75">
      <c r="B35" s="224"/>
      <c r="C35" s="225"/>
      <c r="D35" s="225"/>
      <c r="E35" s="225"/>
      <c r="F35" s="225"/>
      <c r="G35" s="225"/>
      <c r="H35" s="225"/>
      <c r="I35" s="202"/>
      <c r="J35" s="226"/>
    </row>
    <row r="36" spans="2:10" ht="12.75">
      <c r="B36" s="224" t="s">
        <v>206</v>
      </c>
      <c r="C36" s="225"/>
      <c r="D36" s="225"/>
      <c r="E36" s="225"/>
      <c r="F36" s="225"/>
      <c r="G36" s="225"/>
      <c r="H36" s="225"/>
      <c r="I36" s="202"/>
      <c r="J36" s="226"/>
    </row>
    <row r="37" spans="2:10" ht="12.75">
      <c r="B37" s="227"/>
      <c r="C37" s="225"/>
      <c r="D37" s="225"/>
      <c r="E37" s="225"/>
      <c r="F37" s="225"/>
      <c r="G37" s="225"/>
      <c r="H37" s="225"/>
      <c r="I37" s="202"/>
      <c r="J37" s="226"/>
    </row>
    <row r="38" spans="2:10" ht="12.75">
      <c r="B38" s="224" t="s">
        <v>384</v>
      </c>
      <c r="C38" s="225"/>
      <c r="D38" s="225"/>
      <c r="E38" s="225"/>
      <c r="F38" s="225"/>
      <c r="G38" s="225"/>
      <c r="H38" s="225"/>
      <c r="I38" s="202"/>
      <c r="J38" s="226"/>
    </row>
    <row r="39" spans="2:10" ht="13.5" thickBot="1">
      <c r="B39" s="228" t="s">
        <v>372</v>
      </c>
      <c r="C39" s="229"/>
      <c r="D39" s="229"/>
      <c r="E39" s="229"/>
      <c r="F39" s="229"/>
      <c r="G39" s="229"/>
      <c r="H39" s="229"/>
      <c r="I39" s="230"/>
      <c r="J39" s="231"/>
    </row>
    <row r="40" spans="2:10" ht="13.5" thickTop="1">
      <c r="B40" s="151"/>
      <c r="C40" s="151"/>
      <c r="D40" s="151"/>
      <c r="E40" s="151"/>
      <c r="F40" s="151"/>
      <c r="G40" s="151"/>
      <c r="H40" s="151"/>
      <c r="I40" s="1"/>
      <c r="J40" s="1"/>
    </row>
    <row r="41" spans="2:10" ht="12.75">
      <c r="B41" s="209" t="s">
        <v>203</v>
      </c>
      <c r="C41" s="151"/>
      <c r="D41" s="151"/>
      <c r="E41" s="151"/>
      <c r="F41" s="151"/>
      <c r="G41" s="151"/>
      <c r="H41" s="151"/>
      <c r="I41" s="1"/>
      <c r="J41" s="1"/>
    </row>
    <row r="42" spans="2:10" ht="12.75">
      <c r="B42" s="151" t="s">
        <v>377</v>
      </c>
      <c r="C42" s="151"/>
      <c r="D42" s="151"/>
      <c r="E42" s="151"/>
      <c r="F42" s="151"/>
      <c r="G42" s="151"/>
      <c r="H42" s="151"/>
      <c r="I42" s="1"/>
      <c r="J42" s="1"/>
    </row>
    <row r="43" spans="2:10" ht="12.75">
      <c r="B43" s="210" t="s">
        <v>294</v>
      </c>
      <c r="C43" s="151"/>
      <c r="D43" s="151"/>
      <c r="E43" s="151"/>
      <c r="F43" s="151"/>
      <c r="G43" s="151"/>
      <c r="H43" s="151"/>
      <c r="I43" s="1"/>
      <c r="J43" s="1"/>
    </row>
    <row r="44" spans="2:10" ht="12.75">
      <c r="B44" s="210" t="s">
        <v>288</v>
      </c>
      <c r="C44" s="151"/>
      <c r="D44" s="151"/>
      <c r="E44" s="151"/>
      <c r="F44" s="151"/>
      <c r="G44" s="151"/>
      <c r="H44" s="151"/>
      <c r="I44" s="1"/>
      <c r="J44" s="1"/>
    </row>
    <row r="45" spans="2:10" ht="12.75">
      <c r="B45" s="331" t="s">
        <v>376</v>
      </c>
      <c r="C45" s="151"/>
      <c r="D45" s="151"/>
      <c r="E45" s="151"/>
      <c r="F45" s="151"/>
      <c r="G45" s="151"/>
      <c r="H45" s="151"/>
      <c r="I45" s="1"/>
      <c r="J45" s="1"/>
    </row>
    <row r="46" spans="2:10" ht="12.75">
      <c r="B46" s="151"/>
      <c r="C46" s="151"/>
      <c r="D46" s="151"/>
      <c r="E46" s="151"/>
      <c r="F46" s="151"/>
      <c r="G46" s="151"/>
      <c r="H46" s="151"/>
      <c r="I46" s="1"/>
      <c r="J46" s="1"/>
    </row>
    <row r="47" spans="2:10" ht="12.75">
      <c r="B47" s="209" t="s">
        <v>204</v>
      </c>
      <c r="C47" s="151"/>
      <c r="D47" s="151"/>
      <c r="E47" s="151"/>
      <c r="F47" s="151"/>
      <c r="G47" s="151"/>
      <c r="H47" s="151"/>
      <c r="I47" s="1"/>
      <c r="J47" s="1"/>
    </row>
    <row r="48" spans="2:10" ht="12.75">
      <c r="B48" s="151" t="s">
        <v>348</v>
      </c>
      <c r="C48" s="151"/>
      <c r="D48" s="151"/>
      <c r="E48" s="151"/>
      <c r="F48" s="151"/>
      <c r="G48" s="151"/>
      <c r="H48" s="151"/>
      <c r="I48" s="1"/>
      <c r="J48" s="1"/>
    </row>
    <row r="49" spans="2:10" ht="12.75">
      <c r="B49" s="151" t="s">
        <v>353</v>
      </c>
      <c r="C49" s="151"/>
      <c r="D49" s="151"/>
      <c r="E49" s="151"/>
      <c r="F49" s="151"/>
      <c r="G49" s="151"/>
      <c r="H49" s="151"/>
      <c r="I49" s="1"/>
      <c r="J49" s="1"/>
    </row>
    <row r="50" spans="2:10" ht="12.75">
      <c r="B50" t="s">
        <v>352</v>
      </c>
      <c r="C50" s="151"/>
      <c r="D50" s="151"/>
      <c r="E50" s="151"/>
      <c r="F50" s="151"/>
      <c r="G50" s="151"/>
      <c r="H50" s="151"/>
      <c r="I50" s="1"/>
      <c r="J50" s="1"/>
    </row>
    <row r="51" spans="2:10" ht="12.75">
      <c r="B51" s="212" t="s">
        <v>289</v>
      </c>
      <c r="C51" s="151"/>
      <c r="D51" s="151"/>
      <c r="E51" s="151"/>
      <c r="F51" s="151"/>
      <c r="G51" s="151"/>
      <c r="H51" s="151"/>
      <c r="I51" s="1"/>
      <c r="J51" s="1"/>
    </row>
    <row r="52" spans="2:10" ht="13.5">
      <c r="B52" s="210" t="s">
        <v>349</v>
      </c>
      <c r="C52" s="151"/>
      <c r="D52" s="151"/>
      <c r="E52" s="151"/>
      <c r="F52" s="151"/>
      <c r="G52" s="151"/>
      <c r="H52" s="151"/>
      <c r="I52" s="1"/>
      <c r="J52" s="1"/>
    </row>
    <row r="53" spans="2:10" ht="12.75">
      <c r="B53" s="210" t="s">
        <v>350</v>
      </c>
      <c r="C53" s="151"/>
      <c r="D53" s="151"/>
      <c r="E53" s="151"/>
      <c r="F53" s="151"/>
      <c r="G53" s="151"/>
      <c r="H53" s="151"/>
      <c r="I53" s="1"/>
      <c r="J53" s="1"/>
    </row>
    <row r="54" spans="2:10" ht="12.75">
      <c r="B54" s="210" t="s">
        <v>208</v>
      </c>
      <c r="C54" s="151"/>
      <c r="D54" s="151"/>
      <c r="E54" s="151"/>
      <c r="F54" s="151"/>
      <c r="G54" s="151"/>
      <c r="H54" s="151"/>
      <c r="I54" s="1"/>
      <c r="J54" s="1"/>
    </row>
    <row r="55" spans="2:10" ht="12.75">
      <c r="B55" s="210" t="s">
        <v>272</v>
      </c>
      <c r="C55" s="151"/>
      <c r="D55" s="151"/>
      <c r="E55" s="151"/>
      <c r="F55" s="151"/>
      <c r="G55" s="151"/>
      <c r="H55" s="151"/>
      <c r="I55" s="1"/>
      <c r="J55" s="1"/>
    </row>
    <row r="56" spans="2:10" ht="12.75">
      <c r="B56" s="212" t="s">
        <v>290</v>
      </c>
      <c r="C56" s="151"/>
      <c r="D56" s="151"/>
      <c r="E56" s="151"/>
      <c r="F56" s="151"/>
      <c r="G56" s="151"/>
      <c r="H56" s="151"/>
      <c r="I56" s="1"/>
      <c r="J56" s="1"/>
    </row>
    <row r="57" spans="2:10" ht="13.5">
      <c r="B57" s="210" t="s">
        <v>351</v>
      </c>
      <c r="C57" s="151"/>
      <c r="D57" s="151"/>
      <c r="E57" s="151"/>
      <c r="F57" s="151"/>
      <c r="G57" s="151"/>
      <c r="H57" s="151"/>
      <c r="I57" s="1"/>
      <c r="J57" s="1"/>
    </row>
    <row r="58" spans="2:10" ht="12.75">
      <c r="B58" s="210" t="s">
        <v>350</v>
      </c>
      <c r="C58" s="151"/>
      <c r="D58" s="151"/>
      <c r="E58" s="151"/>
      <c r="F58" s="151"/>
      <c r="G58" s="151"/>
      <c r="H58" s="151"/>
      <c r="I58" s="1"/>
      <c r="J58" s="1"/>
    </row>
    <row r="59" spans="2:10" ht="12.75">
      <c r="B59" s="210" t="s">
        <v>271</v>
      </c>
      <c r="C59" s="151"/>
      <c r="D59" s="151"/>
      <c r="E59" s="151"/>
      <c r="F59" s="151"/>
      <c r="G59" s="151"/>
      <c r="H59" s="151"/>
      <c r="I59" s="1"/>
      <c r="J59" s="1"/>
    </row>
    <row r="60" spans="2:10" ht="13.5" thickBot="1">
      <c r="B60" s="151"/>
      <c r="C60" s="151"/>
      <c r="D60" s="151"/>
      <c r="E60" s="151"/>
      <c r="F60" s="151"/>
      <c r="G60" s="151"/>
      <c r="H60" s="151"/>
      <c r="I60" s="1"/>
      <c r="J60" s="1"/>
    </row>
    <row r="61" spans="2:10" ht="12.75">
      <c r="B61" s="232" t="s">
        <v>371</v>
      </c>
      <c r="C61" s="233"/>
      <c r="D61" s="233"/>
      <c r="E61" s="233"/>
      <c r="F61" s="233"/>
      <c r="G61" s="233"/>
      <c r="H61" s="233"/>
      <c r="I61" s="234"/>
      <c r="J61" s="235"/>
    </row>
    <row r="62" spans="2:10" ht="13.5" thickBot="1">
      <c r="B62" s="236" t="s">
        <v>358</v>
      </c>
      <c r="C62" s="237"/>
      <c r="D62" s="237"/>
      <c r="E62" s="237"/>
      <c r="F62" s="237"/>
      <c r="G62" s="237"/>
      <c r="H62" s="237"/>
      <c r="I62" s="238"/>
      <c r="J62" s="239"/>
    </row>
  </sheetData>
  <sheetProtection sheet="1" objects="1" scenarios="1"/>
  <mergeCells count="3">
    <mergeCell ref="I4:J4"/>
    <mergeCell ref="B6:H6"/>
    <mergeCell ref="B7:H7"/>
  </mergeCells>
  <printOptions/>
  <pageMargins left="0.75" right="0.75" top="0.34" bottom="0.25" header="0.34" footer="0.22"/>
  <pageSetup horizontalDpi="600" verticalDpi="600" orientation="portrait" scale="92" r:id="rId2"/>
  <drawing r:id="rId1"/>
</worksheet>
</file>

<file path=xl/worksheets/sheet3.xml><?xml version="1.0" encoding="utf-8"?>
<worksheet xmlns="http://schemas.openxmlformats.org/spreadsheetml/2006/main" xmlns:r="http://schemas.openxmlformats.org/officeDocument/2006/relationships">
  <sheetPr codeName="Sheet6"/>
  <dimension ref="A1:V22"/>
  <sheetViews>
    <sheetView showGridLines="0" workbookViewId="0" topLeftCell="A1">
      <selection activeCell="B14" sqref="B14"/>
    </sheetView>
  </sheetViews>
  <sheetFormatPr defaultColWidth="9.140625" defaultRowHeight="12.75"/>
  <cols>
    <col min="1" max="1" width="3.140625" style="0" customWidth="1"/>
    <col min="2" max="2" width="12.28125" style="0" customWidth="1"/>
    <col min="4" max="5" width="6.00390625" style="0" customWidth="1"/>
    <col min="6" max="6" width="7.421875" style="0" customWidth="1"/>
    <col min="7" max="7" width="4.421875" style="0" hidden="1" customWidth="1"/>
    <col min="8" max="8" width="6.140625" style="0" customWidth="1"/>
    <col min="9" max="9" width="6.00390625" style="0" customWidth="1"/>
    <col min="10" max="10" width="7.7109375" style="0" customWidth="1"/>
    <col min="11" max="11" width="6.28125" style="0" hidden="1" customWidth="1"/>
    <col min="12" max="12" width="7.00390625" style="0" customWidth="1"/>
    <col min="13" max="13" width="9.421875" style="0" customWidth="1"/>
    <col min="14" max="14" width="7.421875" style="0" customWidth="1"/>
    <col min="15" max="15" width="12.7109375" style="0" customWidth="1"/>
    <col min="16" max="16" width="9.7109375" style="0" customWidth="1"/>
    <col min="18" max="18" width="14.00390625" style="0" customWidth="1"/>
  </cols>
  <sheetData>
    <row r="1" spans="1:18" ht="12.75">
      <c r="A1" s="13">
        <v>71</v>
      </c>
      <c r="C1" s="11"/>
      <c r="D1" s="11"/>
      <c r="O1" s="112" t="s">
        <v>180</v>
      </c>
      <c r="P1" s="13">
        <v>1</v>
      </c>
      <c r="Q1" s="13">
        <v>1</v>
      </c>
      <c r="R1" s="13">
        <v>1</v>
      </c>
    </row>
    <row r="2" spans="1:18" ht="12.75">
      <c r="A2" s="13">
        <v>83</v>
      </c>
      <c r="O2" s="112" t="s">
        <v>181</v>
      </c>
      <c r="P2" s="94" t="b">
        <f>+'%Shrinkage &amp; SG'!L7</f>
        <v>0</v>
      </c>
      <c r="Q2" s="94"/>
      <c r="R2" s="10"/>
    </row>
    <row r="3" spans="1:21" ht="13.5" thickBot="1">
      <c r="A3" s="109">
        <v>75</v>
      </c>
      <c r="O3" s="106" t="s">
        <v>182</v>
      </c>
      <c r="P3" s="110">
        <f>+'%Shrinkage &amp; SG'!L123</f>
        <v>3.8</v>
      </c>
      <c r="Q3" s="110">
        <f>+'%Shrinkage &amp; SG'!M123</f>
        <v>6.9</v>
      </c>
      <c r="R3" s="110">
        <f>+'%Shrinkage &amp; SG'!N123</f>
        <v>4.5</v>
      </c>
      <c r="S3" s="101">
        <f>+'%Shrinkage &amp; SG'!O123</f>
        <v>9.1</v>
      </c>
      <c r="T3" s="101">
        <f>+'%Shrinkage &amp; SG'!P123</f>
        <v>3.4</v>
      </c>
      <c r="U3" s="101">
        <f>+'%Shrinkage &amp; SG'!Q123</f>
        <v>7.5</v>
      </c>
    </row>
    <row r="4" spans="1:18" ht="12.75">
      <c r="A4" s="134"/>
      <c r="B4" s="135"/>
      <c r="C4" s="107"/>
      <c r="D4" s="361" t="s">
        <v>184</v>
      </c>
      <c r="E4" s="362"/>
      <c r="F4" s="362"/>
      <c r="G4" s="82">
        <f>+IF(ISBLANK(D7),IF(OR(ISBLANK(E7),ISBLANK(F7)),NA(),EMC!D36),D7)</f>
        <v>19</v>
      </c>
      <c r="H4" s="361" t="s">
        <v>185</v>
      </c>
      <c r="I4" s="362"/>
      <c r="J4" s="363"/>
      <c r="K4" s="82">
        <f>+IF(ISBLANK(H7),IF(OR(ISBLANK(I7),ISBLANK(J7)),NA(),EMC!D37),H7)</f>
        <v>8.43540200862517</v>
      </c>
      <c r="L4" s="107"/>
      <c r="M4" s="137"/>
      <c r="N4" s="107"/>
      <c r="O4" s="136"/>
      <c r="P4" s="361" t="s">
        <v>299</v>
      </c>
      <c r="Q4" s="368"/>
      <c r="R4" s="138"/>
    </row>
    <row r="5" spans="1:21" ht="12.75">
      <c r="A5" s="139"/>
      <c r="B5" s="140"/>
      <c r="C5" s="89"/>
      <c r="D5" s="83"/>
      <c r="E5" s="84"/>
      <c r="F5" s="84"/>
      <c r="G5" s="85" t="s">
        <v>175</v>
      </c>
      <c r="H5" s="86"/>
      <c r="I5" s="87"/>
      <c r="J5" s="88"/>
      <c r="K5" s="89" t="s">
        <v>183</v>
      </c>
      <c r="L5" s="90" t="s">
        <v>177</v>
      </c>
      <c r="M5" s="85"/>
      <c r="N5" s="89"/>
      <c r="O5" s="90" t="s">
        <v>178</v>
      </c>
      <c r="P5" s="366" t="s">
        <v>89</v>
      </c>
      <c r="Q5" s="367"/>
      <c r="R5" s="141"/>
      <c r="S5" s="10"/>
      <c r="T5" s="10"/>
      <c r="U5" s="10"/>
    </row>
    <row r="6" spans="1:21" ht="13.5" thickBot="1">
      <c r="A6" s="142"/>
      <c r="B6" s="364" t="s">
        <v>88</v>
      </c>
      <c r="C6" s="365"/>
      <c r="D6" s="90" t="s">
        <v>186</v>
      </c>
      <c r="E6" s="90" t="s">
        <v>6</v>
      </c>
      <c r="F6" s="91" t="s">
        <v>0</v>
      </c>
      <c r="G6" s="85" t="s">
        <v>90</v>
      </c>
      <c r="H6" s="86" t="s">
        <v>186</v>
      </c>
      <c r="I6" s="90" t="s">
        <v>6</v>
      </c>
      <c r="J6" s="92" t="s">
        <v>0</v>
      </c>
      <c r="K6" s="89" t="s">
        <v>90</v>
      </c>
      <c r="L6" s="90" t="s">
        <v>176</v>
      </c>
      <c r="M6" s="93" t="s">
        <v>58</v>
      </c>
      <c r="N6" s="90" t="s">
        <v>59</v>
      </c>
      <c r="O6" s="108" t="s">
        <v>179</v>
      </c>
      <c r="P6" s="99" t="s">
        <v>58</v>
      </c>
      <c r="Q6" s="100" t="s">
        <v>59</v>
      </c>
      <c r="R6" s="143" t="s">
        <v>187</v>
      </c>
      <c r="S6" s="10"/>
      <c r="T6" s="10"/>
      <c r="U6" s="10"/>
    </row>
    <row r="7" spans="1:21" ht="16.5" customHeight="1">
      <c r="A7" s="341">
        <v>1</v>
      </c>
      <c r="B7" s="64"/>
      <c r="C7" s="64"/>
      <c r="D7" s="69">
        <v>19</v>
      </c>
      <c r="E7" s="69"/>
      <c r="F7" s="66"/>
      <c r="G7" s="81">
        <f>+IF(G4="g",30,IF(G4&gt;30,30,G4))</f>
        <v>19</v>
      </c>
      <c r="H7" s="67"/>
      <c r="I7" s="69">
        <v>72</v>
      </c>
      <c r="J7" s="68">
        <v>45</v>
      </c>
      <c r="K7" s="65">
        <f>+IF(K4&gt;30,30,K4)</f>
        <v>8.43540200862517</v>
      </c>
      <c r="L7" s="77">
        <f>ABS(G7-K7)</f>
        <v>10.56459799137483</v>
      </c>
      <c r="M7" s="359">
        <v>0.75</v>
      </c>
      <c r="N7" s="359">
        <v>5.5</v>
      </c>
      <c r="O7" s="64"/>
      <c r="P7" s="356" t="str">
        <f>+IF(M13=TRUE,CONCATENATE(ROUND(S7,3)," mm"),CONCATENATE(ROUND(S7,3)," in"))</f>
        <v>0.01 in</v>
      </c>
      <c r="Q7" s="356" t="str">
        <f>+IF(M13=TRUE,CONCATENATE(ROUND(T7,3)," mm"),CONCATENATE(ROUND(T7,3)," in"))</f>
        <v>0.137 in</v>
      </c>
      <c r="R7" s="349" t="str">
        <f>+IF(L13="swell",CONCATENATE(ROUND(M7+S7,3)," by ",ROUND(N7+T7,3)),IF(L13="shrink",CONCATENATE(ROUND(M7-S7,3)," by ",ROUND(N7-T7,3)),(CONCATENATE(L13))))</f>
        <v>0.74 by 5.363</v>
      </c>
      <c r="S7" s="10">
        <f>+IF(P2=TRUE,(IF(P1=1,M7*P3*L7,IF(P1=2,M7*Q3*L7,IF(P1=3,((M7*Q3*L7)+(M7*P3*L7))/2)))),(IF(P1=1,(M7*L7)/((3000/P3)-30+G7),IF(P1=2,(M7*L7)/((3000/Q3)-30+G7),IF(P1=3,(((M7*L7)/((3000/P3)-30+G7))+((M7*L7)/((3000/Q3)-30+G7)))/2)))))</f>
        <v>0.010178184123932886</v>
      </c>
      <c r="T7" s="10">
        <f>+IF(P2=TRUE,(IF(P1=1,N7*Q3*L7,IF(P1=2,N7*P3*L7,IF(P1=3,((N7*P3*L7)+(N7*Q3*L7))/2)))),(IF(P1=1,(N7*L7)/((3000/Q3)-30+G7),IF(P1=2,(N7*L7)/((3000/P3)-30+G7),IF(P1=3,(((N7*L7)/((3000/P3)-30+G7))+((N7*L7)/((3000/Q3)-30+G7)))/2)))))</f>
        <v>0.13711107478289897</v>
      </c>
      <c r="U7" s="10"/>
    </row>
    <row r="8" spans="1:21" ht="9.75" customHeight="1">
      <c r="A8" s="338"/>
      <c r="B8" s="131"/>
      <c r="C8" s="132"/>
      <c r="D8" s="121"/>
      <c r="E8" s="122">
        <f>+IF(ISBLANK(D7),CONCATENATE("     EMC = ",ROUND(G4,2),"%"),IF(ISNA(EMC!D36),"","  User entered MC"))</f>
      </c>
      <c r="F8" s="123"/>
      <c r="G8" s="96"/>
      <c r="H8" s="95"/>
      <c r="I8" s="122" t="str">
        <f>+IF(ISBLANK(H7),CONCATENATE("     EMC = ",ROUND(K4,2),"%"),IF(ISNA(EMC!D37),"","  User entered MC"))</f>
        <v>     EMC = 8.44%</v>
      </c>
      <c r="J8" s="124"/>
      <c r="K8" s="72"/>
      <c r="L8" s="79"/>
      <c r="M8" s="360"/>
      <c r="N8" s="360"/>
      <c r="O8" s="133"/>
      <c r="P8" s="355"/>
      <c r="Q8" s="355"/>
      <c r="R8" s="350"/>
      <c r="S8" s="10"/>
      <c r="T8" s="10"/>
      <c r="U8" s="10"/>
    </row>
    <row r="9" spans="1:21" ht="12.75">
      <c r="A9" s="339">
        <v>2</v>
      </c>
      <c r="B9" s="1"/>
      <c r="C9" s="1"/>
      <c r="D9" s="121"/>
      <c r="E9" s="125">
        <f>IF(ISBLANK(D7),"",IF(ISNA(EMC!D36),"","EMC not calculated"))</f>
      </c>
      <c r="F9" s="79"/>
      <c r="G9" s="126"/>
      <c r="H9" s="127"/>
      <c r="I9" s="125">
        <f>IF(ISBLANK(H7),"",IF(ISNA(EMC!D37),"","EMC not calculated"))</f>
      </c>
      <c r="J9" s="79"/>
      <c r="K9" s="70"/>
      <c r="L9" s="95"/>
      <c r="M9" s="357">
        <v>0.75</v>
      </c>
      <c r="N9" s="357">
        <v>5.5</v>
      </c>
      <c r="O9" s="71"/>
      <c r="P9" s="354" t="str">
        <f>+IF(M13=TRUE,CONCATENATE(ROUND(S9,3)," mm"),CONCATENATE(ROUND(S9,3)," in"))</f>
        <v>0.012 in</v>
      </c>
      <c r="Q9" s="354" t="str">
        <f>+IF(M13=TRUE,CONCATENATE(ROUND(T9,3)," mm"),CONCATENATE(ROUND(T9,3)," in"))</f>
        <v>0.182 in</v>
      </c>
      <c r="R9" s="351" t="str">
        <f>+IF(L13="swell",CONCATENATE(ROUND(M9+S9,3)," by ",ROUND(N9+T9,3)),IF(L13="shrink",CONCATENATE(ROUND(M9-S9,3)," by ",ROUND(N9-T9,3)),(CONCATENATE(L13))))</f>
        <v>0.738 by 5.318</v>
      </c>
      <c r="S9" s="10">
        <f>+IF(P2=TRUE,(IF(Q1=1,M9*R3*L7,IF(Q1=2,M9*S3*L7,IF(Q1=3,((M9*R3*L7)+(M9*S3*L7))/2)))),(IF(Q1=1,(M9*L7)/((3000/R3)-30+G7),IF(Q1=2,(M9*L7)/((3000/S3)-30+G7),IF(Q1=3,(((M9*L7)/((3000/R3)-30+G7))+((M9*L7)/((3000/S3)-30+G7)))/2)))))</f>
        <v>0.012084568114180665</v>
      </c>
      <c r="T9" s="10">
        <f>+IF(P2=TRUE,(IF(Q1=1,N9*S3*L7,IF(Q1=2,N9*R3*L7,IF(Q1=3,((N9*S3*L7)+(N9*R3*L7))/2)))),(IF(Q1=1,(N9*L7)/((3000/S3)-30+G7),IF(Q1=2,(N9*L7)/((3000/R3)-30+G7),IF(Q1=3,(((N9*L7)/((3000/S3)-30+G7))+((N9*L7)/((3000/R3)-30+G7)))/2)))))</f>
        <v>0.18233667694344985</v>
      </c>
      <c r="U9" s="10"/>
    </row>
    <row r="10" spans="1:21" ht="11.25" customHeight="1">
      <c r="A10" s="339"/>
      <c r="B10" s="131"/>
      <c r="C10" s="132"/>
      <c r="D10" s="121">
        <f>+IF(D7="g","",IF(D7&gt;30,"MC above FSP, reset to 30",""))</f>
      </c>
      <c r="E10" s="95"/>
      <c r="F10" s="95"/>
      <c r="G10" s="96"/>
      <c r="H10" s="121">
        <f>+IF(H7&gt;30,"MC above FSP, reset to 30","")</f>
      </c>
      <c r="I10" s="95"/>
      <c r="J10" s="79"/>
      <c r="K10" s="1"/>
      <c r="L10" s="96"/>
      <c r="M10" s="360"/>
      <c r="N10" s="360"/>
      <c r="O10" s="133"/>
      <c r="P10" s="355"/>
      <c r="Q10" s="355"/>
      <c r="R10" s="350"/>
      <c r="S10" s="10"/>
      <c r="T10" s="10"/>
      <c r="U10" s="10"/>
    </row>
    <row r="11" spans="1:21" ht="12.75">
      <c r="A11" s="339">
        <v>3</v>
      </c>
      <c r="B11" s="1"/>
      <c r="C11" s="1"/>
      <c r="D11" s="95"/>
      <c r="E11" s="128">
        <f>+IF(OR(D7&gt;30,H7&gt;30),IF(D7="g","","FSP = Fiber Saturation Point"),"")</f>
      </c>
      <c r="F11" s="95"/>
      <c r="G11" s="96"/>
      <c r="H11" s="79"/>
      <c r="I11" s="95"/>
      <c r="J11" s="79"/>
      <c r="K11" s="1"/>
      <c r="L11" s="96"/>
      <c r="M11" s="357">
        <v>0.75</v>
      </c>
      <c r="N11" s="357">
        <v>5.5</v>
      </c>
      <c r="O11" s="71"/>
      <c r="P11" s="347" t="str">
        <f>+IF(M13=TRUE,CONCATENATE(ROUND(S11,3)," mm"),CONCATENATE(ROUND(S11,3)," in"))</f>
        <v>0.009 in</v>
      </c>
      <c r="Q11" s="347" t="str">
        <f>+IF(M13=TRUE,CONCATENATE(ROUND(T11,3)," mm"),CONCATENATE(ROUND(T11,3)," in"))</f>
        <v>0.149 in</v>
      </c>
      <c r="R11" s="352" t="str">
        <f>+IF(L13="swell",CONCATENATE(ROUND(M11+S11,3)," by ",ROUND(N11+T11,3)),IF(L13="shrink",CONCATENATE(ROUND(M11-S11,3)," by ",ROUND(N11-T11,3)),(CONCATENATE(L13))))</f>
        <v>0.741 by 5.351</v>
      </c>
      <c r="S11" s="10">
        <f>+IF($P$2=TRUE,(IF($R$1=1,M11*T3*$L$7,IF($R$1=2,M11*U3*$L$7,IF($R$1=3,((M11*U3*$L$7)+(M11*T3*$L$7))/2)))),(IF($R$1=1,(M11*$L$7)/((3000/T3)-30+$G$7),IF($R$1=2,(M11*$L$7)/((3000/U3)-30+$G$7),IF($R$1=3,(((M11*$L$7)/((3000/T3)-30+$G$7))+((M11*$L$7)/((3000/U3)-30+$G$7)))/2)))))</f>
        <v>0.009093271072033287</v>
      </c>
      <c r="T11" s="10">
        <f>+IF($P$2=TRUE,(IF($R$1=1,N11*U3*$L$7,IF($R$1=2,N11*T3*$L$7,IF($R$1=3,((N11*U3*$L$7)+(N11*T3*$L$7))/2)))),(IF($R$1=1,(N11*$L$7)/((3000/U3)-30+$G$7),IF($R$1=2,(N11*$L$7)/((3000/T3)-30+$G$7),IF($R$1=3,(((N11*$L$7)/((3000/U3)-30+$G$7))+((N11*$L$7)/((3000/T3)-30+$G$7)))/2)))))</f>
        <v>0.1493709227572277</v>
      </c>
      <c r="U11" s="10"/>
    </row>
    <row r="12" spans="1:18" ht="13.5" thickBot="1">
      <c r="A12" s="340"/>
      <c r="B12" s="62"/>
      <c r="C12" s="62"/>
      <c r="D12" s="129"/>
      <c r="E12" s="130" t="str">
        <f>+IF(AND(ISBLANK(E7),ISBLANK(I7)),"","EMC = Equilibrium Moisture Content")</f>
        <v>EMC = Equilibrium Moisture Content</v>
      </c>
      <c r="F12" s="129"/>
      <c r="G12" s="97"/>
      <c r="H12" s="129"/>
      <c r="I12" s="129"/>
      <c r="J12" s="98"/>
      <c r="K12" s="62"/>
      <c r="L12" s="97"/>
      <c r="M12" s="358"/>
      <c r="N12" s="358"/>
      <c r="O12" s="63"/>
      <c r="P12" s="348"/>
      <c r="Q12" s="348"/>
      <c r="R12" s="353"/>
    </row>
    <row r="13" spans="4:22" ht="12.75">
      <c r="D13" s="10"/>
      <c r="L13" s="106" t="str">
        <f>IF((G7-K7)=0,"NO CHANGE IN DIMENSION",IF((G7-K7)&gt;0,"shrink","swell"))</f>
        <v>shrink</v>
      </c>
      <c r="M13" s="145" t="b">
        <v>0</v>
      </c>
      <c r="O13" s="144" t="s">
        <v>198</v>
      </c>
      <c r="U13" s="15"/>
      <c r="V13" s="15"/>
    </row>
    <row r="14" spans="2:15" ht="12.75">
      <c r="B14" s="36" t="str">
        <f>+IF(OR(A1=70,A1=71,A1=72,A2=70,A2=71,A2=72,A3=70,A3=71,A3=72),"Note:  See %Shrinkage &amp; SG worksheet for definitions of Douglas-fir ranges","")</f>
        <v>Note:  See %Shrinkage &amp; SG worksheet for definitions of Douglas-fir ranges</v>
      </c>
      <c r="H14" s="15"/>
      <c r="O14" s="73" t="s">
        <v>217</v>
      </c>
    </row>
    <row r="15" ht="12.75">
      <c r="O15" s="73" t="s">
        <v>274</v>
      </c>
    </row>
    <row r="16" ht="12.75">
      <c r="O16" s="36" t="s">
        <v>275</v>
      </c>
    </row>
    <row r="21" spans="12:19" ht="12.75">
      <c r="L21" s="162" t="s">
        <v>218</v>
      </c>
      <c r="M21" s="163"/>
      <c r="N21" s="163"/>
      <c r="O21" s="160" t="s">
        <v>220</v>
      </c>
      <c r="P21" s="161"/>
      <c r="Q21" s="164"/>
      <c r="R21" s="160" t="s">
        <v>219</v>
      </c>
      <c r="S21" s="161"/>
    </row>
    <row r="22" spans="15:16" ht="12.75">
      <c r="O22" s="346" t="s">
        <v>221</v>
      </c>
      <c r="P22" s="343"/>
    </row>
  </sheetData>
  <mergeCells count="24">
    <mergeCell ref="H4:J4"/>
    <mergeCell ref="D4:F4"/>
    <mergeCell ref="B6:C6"/>
    <mergeCell ref="P5:Q5"/>
    <mergeCell ref="P4:Q4"/>
    <mergeCell ref="M11:M12"/>
    <mergeCell ref="N11:N12"/>
    <mergeCell ref="A7:A8"/>
    <mergeCell ref="A9:A10"/>
    <mergeCell ref="A11:A12"/>
    <mergeCell ref="M7:M8"/>
    <mergeCell ref="N7:N8"/>
    <mergeCell ref="M9:M10"/>
    <mergeCell ref="N9:N10"/>
    <mergeCell ref="O22:P22"/>
    <mergeCell ref="P11:P12"/>
    <mergeCell ref="Q11:Q12"/>
    <mergeCell ref="R7:R8"/>
    <mergeCell ref="R9:R10"/>
    <mergeCell ref="R11:R12"/>
    <mergeCell ref="Q9:Q10"/>
    <mergeCell ref="P9:P10"/>
    <mergeCell ref="P7:P8"/>
    <mergeCell ref="Q7:Q8"/>
  </mergeCells>
  <dataValidations count="5">
    <dataValidation type="decimal" allowBlank="1" showInputMessage="1" showErrorMessage="1" error="MC must be between 0 and 600" sqref="H7">
      <formula1>0</formula1>
      <formula2>600</formula2>
    </dataValidation>
    <dataValidation type="decimal" allowBlank="1" showInputMessage="1" showErrorMessage="1" error="Temperature must be between 0 and 270" sqref="E7 I7">
      <formula1>0</formula1>
      <formula2>270</formula2>
    </dataValidation>
    <dataValidation type="decimal" allowBlank="1" showInputMessage="1" showErrorMessage="1" error="Relative Humidity must be between 5 and 98" sqref="F7 J7">
      <formula1>5</formula1>
      <formula2>98</formula2>
    </dataValidation>
    <dataValidation type="decimal" allowBlank="1" showInputMessage="1" showErrorMessage="1" error="Size must be greater than 0 and less than 5000" sqref="M11:N11 M9:N9 M7:N7">
      <formula1>0</formula1>
      <formula2>5000</formula2>
    </dataValidation>
    <dataValidation type="decimal" allowBlank="1" showInputMessage="1" showErrorMessage="1" error="MC must be between 0 and 600" sqref="D7">
      <formula1>0</formula1>
      <formula2>600</formula2>
    </dataValidation>
  </dataValidations>
  <printOptions/>
  <pageMargins left="0.2" right="0.2" top="1" bottom="1" header="0.5" footer="0.5"/>
  <pageSetup horizontalDpi="600" verticalDpi="600" orientation="landscape" scale="95" r:id="rId4"/>
  <drawing r:id="rId3"/>
  <legacyDrawing r:id="rId2"/>
</worksheet>
</file>

<file path=xl/worksheets/sheet4.xml><?xml version="1.0" encoding="utf-8"?>
<worksheet xmlns="http://schemas.openxmlformats.org/spreadsheetml/2006/main" xmlns:r="http://schemas.openxmlformats.org/officeDocument/2006/relationships">
  <sheetPr codeName="Sheet2"/>
  <dimension ref="B6:N37"/>
  <sheetViews>
    <sheetView showGridLines="0" workbookViewId="0" topLeftCell="A18">
      <selection activeCell="D36" sqref="D36"/>
    </sheetView>
  </sheetViews>
  <sheetFormatPr defaultColWidth="9.140625" defaultRowHeight="12.75"/>
  <cols>
    <col min="1" max="1" width="4.57421875" style="0" customWidth="1"/>
    <col min="4" max="4" width="6.7109375" style="0" customWidth="1"/>
    <col min="5" max="5" width="5.140625" style="0" customWidth="1"/>
    <col min="6" max="6" width="9.28125" style="0" customWidth="1"/>
    <col min="7" max="7" width="6.57421875" style="0" customWidth="1"/>
    <col min="8" max="8" width="8.00390625" style="0" customWidth="1"/>
    <col min="9" max="9" width="7.140625" style="0" customWidth="1"/>
    <col min="10" max="10" width="8.28125" style="0" customWidth="1"/>
    <col min="11" max="11" width="8.57421875" style="0" customWidth="1"/>
    <col min="13" max="13" width="3.7109375" style="0" customWidth="1"/>
  </cols>
  <sheetData>
    <row r="1" ht="9" customHeight="1"/>
    <row r="6" ht="12.75">
      <c r="B6" s="335" t="s">
        <v>380</v>
      </c>
    </row>
    <row r="7" ht="12.75">
      <c r="B7" s="335" t="s">
        <v>381</v>
      </c>
    </row>
    <row r="8" spans="7:12" ht="13.5" thickBot="1">
      <c r="G8" s="373" t="s">
        <v>302</v>
      </c>
      <c r="H8" s="374"/>
      <c r="I8" s="374"/>
      <c r="J8" s="244" t="str">
        <f>+(IF(ROUND(100*(I9-I10)/I10,2)&lt;0,"! MC&lt;0 !",CONCATENATE(ROUND(100*(I9-I10)/I10,2),"%")))</f>
        <v>90.1%</v>
      </c>
      <c r="L8" s="12"/>
    </row>
    <row r="9" spans="2:14" ht="12.75">
      <c r="B9" s="2" t="s">
        <v>6</v>
      </c>
      <c r="C9" s="3" t="s">
        <v>0</v>
      </c>
      <c r="D9" s="4" t="s">
        <v>1</v>
      </c>
      <c r="G9" s="369" t="s">
        <v>300</v>
      </c>
      <c r="H9" s="370"/>
      <c r="I9" s="242">
        <v>210.38</v>
      </c>
      <c r="J9" s="70"/>
      <c r="K9" s="375" t="s">
        <v>378</v>
      </c>
      <c r="L9" s="343"/>
      <c r="M9" s="343"/>
      <c r="N9" s="343"/>
    </row>
    <row r="10" spans="2:14" ht="12.75">
      <c r="B10" s="6">
        <v>72</v>
      </c>
      <c r="C10" s="7">
        <v>45</v>
      </c>
      <c r="D10" s="5">
        <f>IF((1800/EMC!F12)*((EMC!J12/(1-EMC!J12))+((EMC!K12+2*EMC!L12)/(1+EMC!K12+EMC!L12)))&lt;0,0,(1800/EMC!F12)*((EMC!J12/(1-EMC!J12))+((EMC!K12+2*EMC!L12)/(1+EMC!K12+EMC!L12))))</f>
        <v>8.43540200862517</v>
      </c>
      <c r="E10" s="12"/>
      <c r="G10" s="371" t="s">
        <v>301</v>
      </c>
      <c r="H10" s="372"/>
      <c r="I10" s="243">
        <v>110.67</v>
      </c>
      <c r="J10" s="132"/>
      <c r="K10" s="375" t="s">
        <v>379</v>
      </c>
      <c r="L10" s="343"/>
      <c r="M10" s="343"/>
      <c r="N10" s="343"/>
    </row>
    <row r="11" spans="2:14" ht="12.75">
      <c r="B11" s="6"/>
      <c r="C11" s="7"/>
      <c r="D11" s="5" t="e">
        <f>IF((1800/EMC!F13)*((EMC!J13/(1-EMC!J13))+((EMC!K13+2*EMC!L13)/(1+EMC!K13+EMC!L13)))&lt;0,0,(1800/EMC!F13)*((EMC!J13/(1-EMC!J13))+((EMC!K13+2*EMC!L13)/(1+EMC!K13+EMC!L13))))</f>
        <v>#N/A</v>
      </c>
      <c r="E11" s="306"/>
      <c r="F11" s="332" t="s">
        <v>2</v>
      </c>
      <c r="G11" s="332" t="s">
        <v>3</v>
      </c>
      <c r="H11" s="332" t="s">
        <v>257</v>
      </c>
      <c r="I11" s="332" t="s">
        <v>258</v>
      </c>
      <c r="J11" s="332" t="s">
        <v>4</v>
      </c>
      <c r="K11" s="332" t="s">
        <v>259</v>
      </c>
      <c r="L11" s="332" t="s">
        <v>260</v>
      </c>
      <c r="M11" s="333"/>
      <c r="N11" s="336" t="b">
        <v>0</v>
      </c>
    </row>
    <row r="12" spans="2:14" ht="12.75">
      <c r="B12" s="6"/>
      <c r="C12" s="7"/>
      <c r="D12" s="5" t="e">
        <f>IF((1800/EMC!F14)*((EMC!J14/(1-EMC!J14))+((EMC!K14+2*EMC!L14)/(1+EMC!K14+EMC!L14)))&lt;0,0,(1800/EMC!F14)*((EMC!J14/(1-EMC!J14))+((EMC!K14+2*EMC!L14)/(1+EMC!K14+EMC!L14))))</f>
        <v>#N/A</v>
      </c>
      <c r="E12" s="306"/>
      <c r="F12" s="334">
        <f>330+0.452*EMC!N13+0.00415*EMC!N13^2</f>
        <v>384.0576</v>
      </c>
      <c r="G12" s="334">
        <f>0.791+0.000463*EMC!N13-0.000000844*EMC!N13^2</f>
        <v>0.8199607040000001</v>
      </c>
      <c r="H12" s="334">
        <f>6.34+0.000775*EMC!N13-0.0000935*EMC!N13^2</f>
        <v>5.911096</v>
      </c>
      <c r="I12" s="334">
        <f>1.09+0.0284*EMC!N13-0.0000904*EMC!N13^2</f>
        <v>2.6661664000000003</v>
      </c>
      <c r="J12" s="334">
        <f>G12*(EMC!C10/100)</f>
        <v>0.36898231680000004</v>
      </c>
      <c r="K12" s="334">
        <f>J12*H12</f>
        <v>2.181089896907213</v>
      </c>
      <c r="L12" s="334">
        <f>H12*I12*G12^2*(EMC!C10/100)^2</f>
        <v>2.1456870024157757</v>
      </c>
      <c r="M12" s="333"/>
      <c r="N12" s="333" t="s">
        <v>5</v>
      </c>
    </row>
    <row r="13" spans="2:14" ht="12.75">
      <c r="B13" s="6"/>
      <c r="C13" s="7"/>
      <c r="D13" s="5" t="e">
        <f>IF((1800/EMC!F15)*((EMC!J15/(1-EMC!J15))+((EMC!K15+2*EMC!L15)/(1+EMC!K15+EMC!L15)))&lt;0,0,(1800/EMC!F15)*((EMC!J15/(1-EMC!J15))+((EMC!K15+2*EMC!L15)/(1+EMC!K15+EMC!L15))))</f>
        <v>#N/A</v>
      </c>
      <c r="E13" s="306"/>
      <c r="F13" s="334" t="e">
        <f>330+0.452*EMC!N14+0.00415*EMC!N14^2</f>
        <v>#N/A</v>
      </c>
      <c r="G13" s="334" t="e">
        <f>0.791+0.000463*EMC!N14-0.000000844*EMC!N14^2</f>
        <v>#N/A</v>
      </c>
      <c r="H13" s="334" t="e">
        <f>6.34+0.000775*EMC!N14-0.0000935*EMC!N14^2</f>
        <v>#N/A</v>
      </c>
      <c r="I13" s="334" t="e">
        <f>1.09+0.0284*EMC!N14-0.0000904*EMC!N14^2</f>
        <v>#N/A</v>
      </c>
      <c r="J13" s="334" t="e">
        <f>G13*(EMC!C11/100)</f>
        <v>#N/A</v>
      </c>
      <c r="K13" s="334" t="e">
        <f aca="true" t="shared" si="0" ref="K13:K29">J13*H13</f>
        <v>#N/A</v>
      </c>
      <c r="L13" s="334" t="e">
        <f>H13*I13*G13^2*(EMC!C11/100)^2</f>
        <v>#N/A</v>
      </c>
      <c r="M13" s="333"/>
      <c r="N13" s="333">
        <f aca="true" t="shared" si="1" ref="N13:N30">+IF(OR(ISBLANK(B10),ISBLANK(C10)),NA(),IF($N$11=TRUE,(B10*1.8)+32,B10))</f>
        <v>72</v>
      </c>
    </row>
    <row r="14" spans="2:14" ht="12.75">
      <c r="B14" s="6"/>
      <c r="C14" s="7"/>
      <c r="D14" s="5" t="e">
        <f>IF((1800/EMC!F16)*((EMC!J16/(1-EMC!J16))+((EMC!K16+2*EMC!L16)/(1+EMC!K16+EMC!L16)))&lt;0,0,(1800/EMC!F16)*((EMC!J16/(1-EMC!J16))+((EMC!K16+2*EMC!L16)/(1+EMC!K16+EMC!L16))))</f>
        <v>#N/A</v>
      </c>
      <c r="E14" s="306"/>
      <c r="F14" s="334" t="e">
        <f>330+0.452*EMC!N15+0.00415*EMC!N15^2</f>
        <v>#N/A</v>
      </c>
      <c r="G14" s="334" t="e">
        <f>0.791+0.000463*EMC!N15-0.000000844*EMC!N15^2</f>
        <v>#N/A</v>
      </c>
      <c r="H14" s="334" t="e">
        <f>6.34+0.000775*EMC!N15-0.0000935*EMC!N15^2</f>
        <v>#N/A</v>
      </c>
      <c r="I14" s="334" t="e">
        <f>1.09+0.0284*EMC!N15-0.0000904*EMC!N15^2</f>
        <v>#N/A</v>
      </c>
      <c r="J14" s="334" t="e">
        <f>G14*(EMC!C12/100)</f>
        <v>#N/A</v>
      </c>
      <c r="K14" s="334" t="e">
        <f t="shared" si="0"/>
        <v>#N/A</v>
      </c>
      <c r="L14" s="334" t="e">
        <f>H14*I14*G14^2*(EMC!C12/100)^2</f>
        <v>#N/A</v>
      </c>
      <c r="M14" s="333"/>
      <c r="N14" s="333" t="e">
        <f t="shared" si="1"/>
        <v>#N/A</v>
      </c>
    </row>
    <row r="15" spans="2:14" ht="12.75">
      <c r="B15" s="6"/>
      <c r="C15" s="7"/>
      <c r="D15" s="5" t="e">
        <f>IF((1800/EMC!F17)*((EMC!J17/(1-EMC!J17))+((EMC!K17+2*EMC!L17)/(1+EMC!K17+EMC!L17)))&lt;0,0,(1800/EMC!F17)*((EMC!J17/(1-EMC!J17))+((EMC!K17+2*EMC!L17)/(1+EMC!K17+EMC!L17))))</f>
        <v>#N/A</v>
      </c>
      <c r="E15" s="306"/>
      <c r="F15" s="334" t="e">
        <f>330+0.452*EMC!N16+0.00415*EMC!N16^2</f>
        <v>#N/A</v>
      </c>
      <c r="G15" s="334" t="e">
        <f>0.791+0.000463*EMC!N16-0.000000844*EMC!N16^2</f>
        <v>#N/A</v>
      </c>
      <c r="H15" s="334" t="e">
        <f>6.34+0.000775*EMC!N16-0.0000935*EMC!N16^2</f>
        <v>#N/A</v>
      </c>
      <c r="I15" s="334" t="e">
        <f>1.09+0.0284*EMC!N16-0.0000904*EMC!N16^2</f>
        <v>#N/A</v>
      </c>
      <c r="J15" s="334" t="e">
        <f>G15*(EMC!C13/100)</f>
        <v>#N/A</v>
      </c>
      <c r="K15" s="334" t="e">
        <f t="shared" si="0"/>
        <v>#N/A</v>
      </c>
      <c r="L15" s="334" t="e">
        <f>H15*I15*G15^2*(EMC!C13/100)^2</f>
        <v>#N/A</v>
      </c>
      <c r="M15" s="333"/>
      <c r="N15" s="333" t="e">
        <f t="shared" si="1"/>
        <v>#N/A</v>
      </c>
    </row>
    <row r="16" spans="2:14" ht="12.75">
      <c r="B16" s="6"/>
      <c r="C16" s="7"/>
      <c r="D16" s="5" t="e">
        <f>IF((1800/EMC!F18)*((EMC!J18/(1-EMC!J18))+((EMC!K18+2*EMC!L18)/(1+EMC!K18+EMC!L18)))&lt;0,0,(1800/EMC!F18)*((EMC!J18/(1-EMC!J18))+((EMC!K18+2*EMC!L18)/(1+EMC!K18+EMC!L18))))</f>
        <v>#N/A</v>
      </c>
      <c r="E16" s="306"/>
      <c r="F16" s="334" t="e">
        <f>330+0.452*EMC!N17+0.00415*EMC!N17^2</f>
        <v>#N/A</v>
      </c>
      <c r="G16" s="334" t="e">
        <f>0.791+0.000463*EMC!N17-0.000000844*EMC!N17^2</f>
        <v>#N/A</v>
      </c>
      <c r="H16" s="334" t="e">
        <f>6.34+0.000775*EMC!N17-0.0000935*EMC!N17^2</f>
        <v>#N/A</v>
      </c>
      <c r="I16" s="334" t="e">
        <f>1.09+0.0284*EMC!N17-0.0000904*EMC!N17^2</f>
        <v>#N/A</v>
      </c>
      <c r="J16" s="334" t="e">
        <f>G16*(EMC!C14/100)</f>
        <v>#N/A</v>
      </c>
      <c r="K16" s="334" t="e">
        <f t="shared" si="0"/>
        <v>#N/A</v>
      </c>
      <c r="L16" s="334" t="e">
        <f>H16*I16*G16^2*(EMC!C14/100)^2</f>
        <v>#N/A</v>
      </c>
      <c r="M16" s="333"/>
      <c r="N16" s="333" t="e">
        <f t="shared" si="1"/>
        <v>#N/A</v>
      </c>
    </row>
    <row r="17" spans="2:14" ht="12.75">
      <c r="B17" s="6"/>
      <c r="C17" s="7"/>
      <c r="D17" s="5" t="e">
        <f>IF((1800/EMC!F19)*((EMC!J19/(1-EMC!J19))+((EMC!K19+2*EMC!L19)/(1+EMC!K19+EMC!L19)))&lt;0,0,(1800/EMC!F19)*((EMC!J19/(1-EMC!J19))+((EMC!K19+2*EMC!L19)/(1+EMC!K19+EMC!L19))))</f>
        <v>#N/A</v>
      </c>
      <c r="E17" s="306"/>
      <c r="F17" s="334" t="e">
        <f>330+0.452*EMC!N18+0.00415*EMC!N18^2</f>
        <v>#N/A</v>
      </c>
      <c r="G17" s="334" t="e">
        <f>0.791+0.000463*EMC!N18-0.000000844*EMC!N18^2</f>
        <v>#N/A</v>
      </c>
      <c r="H17" s="334" t="e">
        <f>6.34+0.000775*EMC!N18-0.0000935*EMC!N18^2</f>
        <v>#N/A</v>
      </c>
      <c r="I17" s="334" t="e">
        <f>1.09+0.0284*EMC!N18-0.0000904*EMC!N18^2</f>
        <v>#N/A</v>
      </c>
      <c r="J17" s="334" t="e">
        <f>G17*(EMC!C15/100)</f>
        <v>#N/A</v>
      </c>
      <c r="K17" s="334" t="e">
        <f t="shared" si="0"/>
        <v>#N/A</v>
      </c>
      <c r="L17" s="334" t="e">
        <f>H17*I17*G17^2*(EMC!C15/100)^2</f>
        <v>#N/A</v>
      </c>
      <c r="M17" s="333"/>
      <c r="N17" s="333" t="e">
        <f t="shared" si="1"/>
        <v>#N/A</v>
      </c>
    </row>
    <row r="18" spans="2:14" ht="12.75">
      <c r="B18" s="6"/>
      <c r="C18" s="7"/>
      <c r="D18" s="5" t="e">
        <f>IF((1800/EMC!F20)*((EMC!J20/(1-EMC!J20))+((EMC!K20+2*EMC!L20)/(1+EMC!K20+EMC!L20)))&lt;0,0,(1800/EMC!F20)*((EMC!J20/(1-EMC!J20))+((EMC!K20+2*EMC!L20)/(1+EMC!K20+EMC!L20))))</f>
        <v>#N/A</v>
      </c>
      <c r="E18" s="306"/>
      <c r="F18" s="334" t="e">
        <f>330+0.452*EMC!N19+0.00415*EMC!N19^2</f>
        <v>#N/A</v>
      </c>
      <c r="G18" s="334" t="e">
        <f>0.791+0.000463*EMC!N19-0.000000844*EMC!N19^2</f>
        <v>#N/A</v>
      </c>
      <c r="H18" s="334" t="e">
        <f>6.34+0.000775*EMC!N19-0.0000935*EMC!N19^2</f>
        <v>#N/A</v>
      </c>
      <c r="I18" s="334" t="e">
        <f>1.09+0.0284*EMC!N19-0.0000904*EMC!N19^2</f>
        <v>#N/A</v>
      </c>
      <c r="J18" s="334" t="e">
        <f>G18*(EMC!C16/100)</f>
        <v>#N/A</v>
      </c>
      <c r="K18" s="334" t="e">
        <f t="shared" si="0"/>
        <v>#N/A</v>
      </c>
      <c r="L18" s="334" t="e">
        <f>H18*I18*G18^2*(EMC!C16/100)^2</f>
        <v>#N/A</v>
      </c>
      <c r="M18" s="333"/>
      <c r="N18" s="333" t="e">
        <f t="shared" si="1"/>
        <v>#N/A</v>
      </c>
    </row>
    <row r="19" spans="2:14" ht="12.75">
      <c r="B19" s="6"/>
      <c r="C19" s="7"/>
      <c r="D19" s="5" t="e">
        <f>IF((1800/EMC!F21)*((EMC!J21/(1-EMC!J21))+((EMC!K21+2*EMC!L21)/(1+EMC!K21+EMC!L21)))&lt;0,0,(1800/EMC!F21)*((EMC!J21/(1-EMC!J21))+((EMC!K21+2*EMC!L21)/(1+EMC!K21+EMC!L21))))</f>
        <v>#N/A</v>
      </c>
      <c r="E19" s="306"/>
      <c r="F19" s="334" t="e">
        <f>330+0.452*EMC!N20+0.00415*EMC!N20^2</f>
        <v>#N/A</v>
      </c>
      <c r="G19" s="334" t="e">
        <f>0.791+0.000463*EMC!N20-0.000000844*EMC!N20^2</f>
        <v>#N/A</v>
      </c>
      <c r="H19" s="334" t="e">
        <f>6.34+0.000775*EMC!N20-0.0000935*EMC!N20^2</f>
        <v>#N/A</v>
      </c>
      <c r="I19" s="334" t="e">
        <f>1.09+0.0284*EMC!N20-0.0000904*EMC!N20^2</f>
        <v>#N/A</v>
      </c>
      <c r="J19" s="334" t="e">
        <f>G19*(EMC!C17/100)</f>
        <v>#N/A</v>
      </c>
      <c r="K19" s="334" t="e">
        <f t="shared" si="0"/>
        <v>#N/A</v>
      </c>
      <c r="L19" s="334" t="e">
        <f>H19*I19*G19^2*(EMC!C17/100)^2</f>
        <v>#N/A</v>
      </c>
      <c r="M19" s="333"/>
      <c r="N19" s="333" t="e">
        <f t="shared" si="1"/>
        <v>#N/A</v>
      </c>
    </row>
    <row r="20" spans="2:14" ht="12.75">
      <c r="B20" s="6"/>
      <c r="C20" s="7"/>
      <c r="D20" s="5" t="e">
        <f>IF((1800/EMC!F22)*((EMC!J22/(1-EMC!J22))+((EMC!K22+2*EMC!L22)/(1+EMC!K22+EMC!L22)))&lt;0,0,(1800/EMC!F22)*((EMC!J22/(1-EMC!J22))+((EMC!K22+2*EMC!L22)/(1+EMC!K22+EMC!L22))))</f>
        <v>#N/A</v>
      </c>
      <c r="E20" s="306"/>
      <c r="F20" s="334" t="e">
        <f>330+0.452*EMC!N21+0.00415*EMC!N21^2</f>
        <v>#N/A</v>
      </c>
      <c r="G20" s="334" t="e">
        <f>0.791+0.000463*EMC!N21-0.000000844*EMC!N21^2</f>
        <v>#N/A</v>
      </c>
      <c r="H20" s="334" t="e">
        <f>6.34+0.000775*EMC!N21-0.0000935*EMC!N21^2</f>
        <v>#N/A</v>
      </c>
      <c r="I20" s="334" t="e">
        <f>1.09+0.0284*EMC!N21-0.0000904*EMC!N21^2</f>
        <v>#N/A</v>
      </c>
      <c r="J20" s="334" t="e">
        <f>G20*(EMC!C18/100)</f>
        <v>#N/A</v>
      </c>
      <c r="K20" s="334" t="e">
        <f t="shared" si="0"/>
        <v>#N/A</v>
      </c>
      <c r="L20" s="334" t="e">
        <f>H20*I20*G20^2*(EMC!C18/100)^2</f>
        <v>#N/A</v>
      </c>
      <c r="M20" s="333"/>
      <c r="N20" s="333" t="e">
        <f t="shared" si="1"/>
        <v>#N/A</v>
      </c>
    </row>
    <row r="21" spans="2:14" ht="12.75">
      <c r="B21" s="6"/>
      <c r="C21" s="7"/>
      <c r="D21" s="5" t="e">
        <f>IF((1800/EMC!F23)*((EMC!J23/(1-EMC!J23))+((EMC!K23+2*EMC!L23)/(1+EMC!K23+EMC!L23)))&lt;0,0,(1800/EMC!F23)*((EMC!J23/(1-EMC!J23))+((EMC!K23+2*EMC!L23)/(1+EMC!K23+EMC!L23))))</f>
        <v>#N/A</v>
      </c>
      <c r="E21" s="306"/>
      <c r="F21" s="334" t="e">
        <f>330+0.452*EMC!N22+0.00415*EMC!N22^2</f>
        <v>#N/A</v>
      </c>
      <c r="G21" s="334" t="e">
        <f>0.791+0.000463*EMC!N22-0.000000844*EMC!N22^2</f>
        <v>#N/A</v>
      </c>
      <c r="H21" s="334" t="e">
        <f>6.34+0.000775*EMC!N22-0.0000935*EMC!N22^2</f>
        <v>#N/A</v>
      </c>
      <c r="I21" s="334" t="e">
        <f>1.09+0.0284*EMC!N22-0.0000904*EMC!N22^2</f>
        <v>#N/A</v>
      </c>
      <c r="J21" s="334" t="e">
        <f>G21*(EMC!C19/100)</f>
        <v>#N/A</v>
      </c>
      <c r="K21" s="334" t="e">
        <f t="shared" si="0"/>
        <v>#N/A</v>
      </c>
      <c r="L21" s="334" t="e">
        <f>H21*I21*G21^2*(EMC!C19/100)^2</f>
        <v>#N/A</v>
      </c>
      <c r="M21" s="333"/>
      <c r="N21" s="333" t="e">
        <f t="shared" si="1"/>
        <v>#N/A</v>
      </c>
    </row>
    <row r="22" spans="2:14" ht="12.75">
      <c r="B22" s="6"/>
      <c r="C22" s="7"/>
      <c r="D22" s="5" t="e">
        <f>IF((1800/EMC!F24)*((EMC!J24/(1-EMC!J24))+((EMC!K24+2*EMC!L24)/(1+EMC!K24+EMC!L24)))&lt;0,0,(1800/EMC!F24)*((EMC!J24/(1-EMC!J24))+((EMC!K24+2*EMC!L24)/(1+EMC!K24+EMC!L24))))</f>
        <v>#N/A</v>
      </c>
      <c r="E22" s="306"/>
      <c r="F22" s="334" t="e">
        <f>330+0.452*EMC!N23+0.00415*EMC!N23^2</f>
        <v>#N/A</v>
      </c>
      <c r="G22" s="334" t="e">
        <f>0.791+0.000463*EMC!N23-0.000000844*EMC!N23^2</f>
        <v>#N/A</v>
      </c>
      <c r="H22" s="334" t="e">
        <f>6.34+0.000775*EMC!N23-0.0000935*EMC!N23^2</f>
        <v>#N/A</v>
      </c>
      <c r="I22" s="334" t="e">
        <f>1.09+0.0284*EMC!N23-0.0000904*EMC!N23^2</f>
        <v>#N/A</v>
      </c>
      <c r="J22" s="334" t="e">
        <f>G22*(EMC!C20/100)</f>
        <v>#N/A</v>
      </c>
      <c r="K22" s="334" t="e">
        <f t="shared" si="0"/>
        <v>#N/A</v>
      </c>
      <c r="L22" s="334" t="e">
        <f>H22*I22*G22^2*(EMC!C20/100)^2</f>
        <v>#N/A</v>
      </c>
      <c r="M22" s="333"/>
      <c r="N22" s="333" t="e">
        <f t="shared" si="1"/>
        <v>#N/A</v>
      </c>
    </row>
    <row r="23" spans="2:14" ht="12.75">
      <c r="B23" s="6"/>
      <c r="C23" s="7"/>
      <c r="D23" s="5" t="e">
        <f>IF((1800/EMC!F25)*((EMC!J25/(1-EMC!J25))+((EMC!K25+2*EMC!L25)/(1+EMC!K25+EMC!L25)))&lt;0,0,(1800/EMC!F25)*((EMC!J25/(1-EMC!J25))+((EMC!K25+2*EMC!L25)/(1+EMC!K25+EMC!L25))))</f>
        <v>#N/A</v>
      </c>
      <c r="E23" s="306"/>
      <c r="F23" s="334" t="e">
        <f>330+0.452*EMC!N24+0.00415*EMC!N24^2</f>
        <v>#N/A</v>
      </c>
      <c r="G23" s="334" t="e">
        <f>0.791+0.000463*EMC!N24-0.000000844*EMC!N24^2</f>
        <v>#N/A</v>
      </c>
      <c r="H23" s="334" t="e">
        <f>6.34+0.000775*EMC!N24-0.0000935*EMC!N24^2</f>
        <v>#N/A</v>
      </c>
      <c r="I23" s="334" t="e">
        <f>1.09+0.0284*EMC!N24-0.0000904*EMC!N24^2</f>
        <v>#N/A</v>
      </c>
      <c r="J23" s="334" t="e">
        <f>G23*(EMC!C21/100)</f>
        <v>#N/A</v>
      </c>
      <c r="K23" s="334" t="e">
        <f t="shared" si="0"/>
        <v>#N/A</v>
      </c>
      <c r="L23" s="334" t="e">
        <f>H23*I23*G23^2*(EMC!C21/100)^2</f>
        <v>#N/A</v>
      </c>
      <c r="M23" s="333"/>
      <c r="N23" s="333" t="e">
        <f t="shared" si="1"/>
        <v>#N/A</v>
      </c>
    </row>
    <row r="24" spans="2:14" ht="12.75">
      <c r="B24" s="6"/>
      <c r="C24" s="7"/>
      <c r="D24" s="5" t="e">
        <f>IF((1800/EMC!F26)*((EMC!J26/(1-EMC!J26))+((EMC!K26+2*EMC!L26)/(1+EMC!K26+EMC!L26)))&lt;0,0,(1800/EMC!F26)*((EMC!J26/(1-EMC!J26))+((EMC!K26+2*EMC!L26)/(1+EMC!K26+EMC!L26))))</f>
        <v>#N/A</v>
      </c>
      <c r="E24" s="306"/>
      <c r="F24" s="334" t="e">
        <f>330+0.452*EMC!N25+0.00415*EMC!N25^2</f>
        <v>#N/A</v>
      </c>
      <c r="G24" s="334" t="e">
        <f>0.791+0.000463*EMC!N25-0.000000844*EMC!N25^2</f>
        <v>#N/A</v>
      </c>
      <c r="H24" s="334" t="e">
        <f>6.34+0.000775*EMC!N25-0.0000935*EMC!N25^2</f>
        <v>#N/A</v>
      </c>
      <c r="I24" s="334" t="e">
        <f>1.09+0.0284*EMC!N25-0.0000904*EMC!N25^2</f>
        <v>#N/A</v>
      </c>
      <c r="J24" s="334" t="e">
        <f>G24*(EMC!C22/100)</f>
        <v>#N/A</v>
      </c>
      <c r="K24" s="334" t="e">
        <f t="shared" si="0"/>
        <v>#N/A</v>
      </c>
      <c r="L24" s="334" t="e">
        <f>H24*I24*G24^2*(EMC!C22/100)^2</f>
        <v>#N/A</v>
      </c>
      <c r="M24" s="333"/>
      <c r="N24" s="333" t="e">
        <f t="shared" si="1"/>
        <v>#N/A</v>
      </c>
    </row>
    <row r="25" spans="2:14" ht="12.75">
      <c r="B25" s="6"/>
      <c r="C25" s="7"/>
      <c r="D25" s="5" t="e">
        <f>IF((1800/EMC!F27)*((EMC!J27/(1-EMC!J27))+((EMC!K27+2*EMC!L27)/(1+EMC!K27+EMC!L27)))&lt;0,0,(1800/EMC!F27)*((EMC!J27/(1-EMC!J27))+((EMC!K27+2*EMC!L27)/(1+EMC!K27+EMC!L27))))</f>
        <v>#N/A</v>
      </c>
      <c r="E25" s="306"/>
      <c r="F25" s="334" t="e">
        <f>330+0.452*EMC!N26+0.00415*EMC!N26^2</f>
        <v>#N/A</v>
      </c>
      <c r="G25" s="334" t="e">
        <f>0.791+0.000463*EMC!N26-0.000000844*EMC!N26^2</f>
        <v>#N/A</v>
      </c>
      <c r="H25" s="334" t="e">
        <f>6.34+0.000775*EMC!N26-0.0000935*EMC!N26^2</f>
        <v>#N/A</v>
      </c>
      <c r="I25" s="334" t="e">
        <f>1.09+0.0284*EMC!N26-0.0000904*EMC!N26^2</f>
        <v>#N/A</v>
      </c>
      <c r="J25" s="334" t="e">
        <f>G25*(EMC!C23/100)</f>
        <v>#N/A</v>
      </c>
      <c r="K25" s="334" t="e">
        <f t="shared" si="0"/>
        <v>#N/A</v>
      </c>
      <c r="L25" s="334" t="e">
        <f>H25*I25*G25^2*(EMC!C23/100)^2</f>
        <v>#N/A</v>
      </c>
      <c r="M25" s="333"/>
      <c r="N25" s="333" t="e">
        <f t="shared" si="1"/>
        <v>#N/A</v>
      </c>
    </row>
    <row r="26" spans="2:14" ht="12.75">
      <c r="B26" s="6"/>
      <c r="C26" s="7"/>
      <c r="D26" s="5" t="e">
        <f>IF((1800/EMC!F28)*((EMC!J28/(1-EMC!J28))+((EMC!K28+2*EMC!L28)/(1+EMC!K28+EMC!L28)))&lt;0,0,(1800/EMC!F28)*((EMC!J28/(1-EMC!J28))+((EMC!K28+2*EMC!L28)/(1+EMC!K28+EMC!L28))))</f>
        <v>#N/A</v>
      </c>
      <c r="E26" s="306"/>
      <c r="F26" s="334" t="e">
        <f>330+0.452*EMC!N27+0.00415*EMC!N27^2</f>
        <v>#N/A</v>
      </c>
      <c r="G26" s="334" t="e">
        <f>0.791+0.000463*EMC!N27-0.000000844*EMC!N27^2</f>
        <v>#N/A</v>
      </c>
      <c r="H26" s="334" t="e">
        <f>6.34+0.000775*EMC!N27-0.0000935*EMC!N27^2</f>
        <v>#N/A</v>
      </c>
      <c r="I26" s="334" t="e">
        <f>1.09+0.0284*EMC!N27-0.0000904*EMC!N27^2</f>
        <v>#N/A</v>
      </c>
      <c r="J26" s="334" t="e">
        <f>G26*(EMC!C24/100)</f>
        <v>#N/A</v>
      </c>
      <c r="K26" s="334" t="e">
        <f t="shared" si="0"/>
        <v>#N/A</v>
      </c>
      <c r="L26" s="334" t="e">
        <f>H26*I26*G26^2*(EMC!C24/100)^2</f>
        <v>#N/A</v>
      </c>
      <c r="M26" s="333"/>
      <c r="N26" s="333" t="e">
        <f t="shared" si="1"/>
        <v>#N/A</v>
      </c>
    </row>
    <row r="27" spans="2:14" ht="13.5" thickBot="1">
      <c r="B27" s="8"/>
      <c r="C27" s="9"/>
      <c r="D27" s="14" t="e">
        <f>IF((1800/EMC!F29)*((EMC!J29/(1-EMC!J29))+((EMC!K29+2*EMC!L29)/(1+EMC!K29+EMC!L29)))&lt;0,0,(1800/EMC!F29)*((EMC!J29/(1-EMC!J29))+((EMC!K29+2*EMC!L29)/(1+EMC!K29+EMC!L29))))</f>
        <v>#N/A</v>
      </c>
      <c r="E27" s="306"/>
      <c r="F27" s="334" t="e">
        <f>330+0.452*EMC!N28+0.00415*EMC!N28^2</f>
        <v>#N/A</v>
      </c>
      <c r="G27" s="334" t="e">
        <f>0.791+0.000463*EMC!N28-0.000000844*EMC!N28^2</f>
        <v>#N/A</v>
      </c>
      <c r="H27" s="334" t="e">
        <f>6.34+0.000775*EMC!N28-0.0000935*EMC!N28^2</f>
        <v>#N/A</v>
      </c>
      <c r="I27" s="334" t="e">
        <f>1.09+0.0284*EMC!N28-0.0000904*EMC!N28^2</f>
        <v>#N/A</v>
      </c>
      <c r="J27" s="334" t="e">
        <f>G27*(EMC!C25/100)</f>
        <v>#N/A</v>
      </c>
      <c r="K27" s="334" t="e">
        <f t="shared" si="0"/>
        <v>#N/A</v>
      </c>
      <c r="L27" s="334" t="e">
        <f>H27*I27*G27^2*(EMC!C25/100)^2</f>
        <v>#N/A</v>
      </c>
      <c r="M27" s="333"/>
      <c r="N27" s="333" t="e">
        <f t="shared" si="1"/>
        <v>#N/A</v>
      </c>
    </row>
    <row r="28" spans="5:14" ht="12.75">
      <c r="E28" s="306"/>
      <c r="F28" s="334" t="e">
        <f>330+0.452*EMC!N29+0.00415*EMC!N29^2</f>
        <v>#N/A</v>
      </c>
      <c r="G28" s="334" t="e">
        <f>0.791+0.000463*EMC!N29-0.000000844*EMC!N29^2</f>
        <v>#N/A</v>
      </c>
      <c r="H28" s="334" t="e">
        <f>6.34+0.000775*EMC!N29-0.0000935*EMC!N29^2</f>
        <v>#N/A</v>
      </c>
      <c r="I28" s="334" t="e">
        <f>1.09+0.0284*EMC!N29-0.0000904*EMC!N29^2</f>
        <v>#N/A</v>
      </c>
      <c r="J28" s="334" t="e">
        <f>G28*(EMC!C26/100)</f>
        <v>#N/A</v>
      </c>
      <c r="K28" s="334" t="e">
        <f t="shared" si="0"/>
        <v>#N/A</v>
      </c>
      <c r="L28" s="334" t="e">
        <f>H28*I28*G28^2*(EMC!C26/100)^2</f>
        <v>#N/A</v>
      </c>
      <c r="M28" s="333"/>
      <c r="N28" s="333" t="e">
        <f t="shared" si="1"/>
        <v>#N/A</v>
      </c>
    </row>
    <row r="29" spans="5:14" ht="12.75">
      <c r="E29" s="306"/>
      <c r="F29" s="334" t="e">
        <f>330+0.452*EMC!N30+0.00415*EMC!N30^2</f>
        <v>#N/A</v>
      </c>
      <c r="G29" s="334" t="e">
        <f>0.791+0.000463*EMC!N30-0.000000844*EMC!N30^2</f>
        <v>#N/A</v>
      </c>
      <c r="H29" s="334" t="e">
        <f>6.34+0.000775*EMC!N30-0.0000935*EMC!N30^2</f>
        <v>#N/A</v>
      </c>
      <c r="I29" s="334" t="e">
        <f>1.09+0.0284*EMC!N30-0.0000904*EMC!N30^2</f>
        <v>#N/A</v>
      </c>
      <c r="J29" s="334" t="e">
        <f>G29*(EMC!C27/100)</f>
        <v>#N/A</v>
      </c>
      <c r="K29" s="334" t="e">
        <f t="shared" si="0"/>
        <v>#N/A</v>
      </c>
      <c r="L29" s="334" t="e">
        <f>H29*I29*G29^2*(EMC!C27/100)^2</f>
        <v>#N/A</v>
      </c>
      <c r="M29" s="333"/>
      <c r="N29" s="333" t="e">
        <f t="shared" si="1"/>
        <v>#N/A</v>
      </c>
    </row>
    <row r="30" spans="5:14" ht="12.75">
      <c r="E30" s="306"/>
      <c r="F30" s="333"/>
      <c r="G30" s="333"/>
      <c r="H30" s="333"/>
      <c r="I30" s="333"/>
      <c r="J30" s="333"/>
      <c r="K30" s="333"/>
      <c r="L30" s="333"/>
      <c r="M30" s="333"/>
      <c r="N30" s="333" t="e">
        <f t="shared" si="1"/>
        <v>#N/A</v>
      </c>
    </row>
    <row r="31" ht="12.75">
      <c r="N31" s="15"/>
    </row>
    <row r="32" ht="12.75">
      <c r="N32" s="15"/>
    </row>
    <row r="33" ht="12.75">
      <c r="N33" s="15"/>
    </row>
    <row r="35" ht="12.75">
      <c r="N35" s="74" t="b">
        <v>0</v>
      </c>
    </row>
    <row r="36" spans="2:14" ht="12.75">
      <c r="B36" s="10" t="e">
        <f>+IF(ISBLANK('Dimensional Change'!E7),NA(),'Dimensional Change'!E7)</f>
        <v>#N/A</v>
      </c>
      <c r="C36" s="10" t="e">
        <f>+IF(ISBLANK('Dimensional Change'!F7),NA(),'Dimensional Change'!F7)</f>
        <v>#N/A</v>
      </c>
      <c r="D36" s="75" t="e">
        <f>IF((1800/F36)*((J36/(1-J36))+((K36+2*L36)/(1+K36+L36)))&lt;0,0,(1800/F36)*((J36/(1-J36))+((K36+2*L36)/(1+K36+L36))))</f>
        <v>#N/A</v>
      </c>
      <c r="E36" s="10"/>
      <c r="F36" s="76" t="e">
        <f>330+0.452*N36+0.00415*N36^2</f>
        <v>#N/A</v>
      </c>
      <c r="G36" s="76" t="e">
        <f>0.791+0.000463*N36-0.000000844*N36^2</f>
        <v>#N/A</v>
      </c>
      <c r="H36" s="76" t="e">
        <f>6.34+0.000775*N36-0.0000935*N36^2</f>
        <v>#N/A</v>
      </c>
      <c r="I36" s="76" t="e">
        <f>1.09+0.0284*N36-0.0000904*N36^2</f>
        <v>#N/A</v>
      </c>
      <c r="J36" s="76" t="e">
        <f>G36*(C36/100)</f>
        <v>#N/A</v>
      </c>
      <c r="K36" s="76" t="e">
        <f>J36*H36</f>
        <v>#N/A</v>
      </c>
      <c r="L36" s="76" t="e">
        <f>H36*I36*G36^2*(C36/100)^2</f>
        <v>#N/A</v>
      </c>
      <c r="N36" s="10" t="e">
        <f>+IF(OR(ISBLANK(B36),ISBLANK(C36)),NA(),IF($N$35=TRUE,(B36*1.8)+32,B36))</f>
        <v>#N/A</v>
      </c>
    </row>
    <row r="37" spans="2:14" ht="12.75">
      <c r="B37" s="10">
        <f>+IF(ISBLANK('Dimensional Change'!I7),NA(),'Dimensional Change'!I7)</f>
        <v>72</v>
      </c>
      <c r="C37" s="10">
        <f>+IF(ISBLANK('Dimensional Change'!J7),NA(),'Dimensional Change'!J7)</f>
        <v>45</v>
      </c>
      <c r="D37" s="75">
        <f>IF((1800/F37)*((J37/(1-J37))+((K37+2*L37)/(1+K37+L37)))&lt;0,0,(1800/F37)*((J37/(1-J37))+((K37+2*L37)/(1+K37+L37))))</f>
        <v>8.43540200862517</v>
      </c>
      <c r="E37" s="10"/>
      <c r="F37" s="76">
        <f>330+0.452*N37+0.00415*N37^2</f>
        <v>384.0576</v>
      </c>
      <c r="G37" s="76">
        <f>0.791+0.000463*N37-0.000000844*N37^2</f>
        <v>0.8199607040000001</v>
      </c>
      <c r="H37" s="76">
        <f>6.34+0.000775*N37-0.0000935*N37^2</f>
        <v>5.911096</v>
      </c>
      <c r="I37" s="76">
        <f>1.09+0.0284*N37-0.0000904*N37^2</f>
        <v>2.6661664000000003</v>
      </c>
      <c r="J37" s="76">
        <f>G37*(C37/100)</f>
        <v>0.36898231680000004</v>
      </c>
      <c r="K37" s="76">
        <f>J37*H37</f>
        <v>2.181089896907213</v>
      </c>
      <c r="L37" s="76">
        <f>H37*I37*G37^2*(C37/100)^2</f>
        <v>2.1456870024157757</v>
      </c>
      <c r="N37" s="10">
        <f>+IF(OR(ISBLANK(B37),ISBLANK(C37)),NA(),IF($N$35=TRUE,(B37*1.8)+32,B37))</f>
        <v>72</v>
      </c>
    </row>
  </sheetData>
  <sheetProtection sheet="1" objects="1" scenarios="1"/>
  <mergeCells count="5">
    <mergeCell ref="G9:H9"/>
    <mergeCell ref="G10:H10"/>
    <mergeCell ref="G8:I8"/>
    <mergeCell ref="K9:N9"/>
    <mergeCell ref="K10:N10"/>
  </mergeCells>
  <dataValidations count="2">
    <dataValidation type="decimal" allowBlank="1" showInputMessage="1" showErrorMessage="1" error="Relative Humidity must be between&#10;0 and 98" sqref="C10:C27">
      <formula1>0</formula1>
      <formula2>98</formula2>
    </dataValidation>
    <dataValidation type="decimal" allowBlank="1" showInputMessage="1" showErrorMessage="1" error="Temperature must be between 0 and 270" sqref="B10:B27">
      <formula1>0</formula1>
      <formula2>270</formula2>
    </dataValidation>
  </dataValidations>
  <printOptions/>
  <pageMargins left="0.25" right="0.25" top="0.5"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1"/>
  <dimension ref="B5:W35"/>
  <sheetViews>
    <sheetView showGridLines="0" workbookViewId="0" topLeftCell="B4">
      <selection activeCell="E18" sqref="E18"/>
    </sheetView>
  </sheetViews>
  <sheetFormatPr defaultColWidth="9.140625" defaultRowHeight="12.75"/>
  <cols>
    <col min="1" max="1" width="2.7109375" style="0" hidden="1" customWidth="1"/>
    <col min="2" max="2" width="4.00390625" style="0" customWidth="1"/>
    <col min="3" max="3" width="6.28125" style="0" customWidth="1"/>
    <col min="4" max="4" width="14.8515625" style="0" customWidth="1"/>
    <col min="5" max="5" width="10.7109375" style="0" customWidth="1"/>
    <col min="6" max="6" width="8.7109375" style="0" customWidth="1"/>
    <col min="7" max="7" width="9.57421875" style="0" customWidth="1"/>
    <col min="8" max="8" width="12.7109375" style="0" customWidth="1"/>
    <col min="9" max="9" width="10.421875" style="0" customWidth="1"/>
    <col min="10" max="10" width="1.7109375" style="0" customWidth="1"/>
    <col min="11" max="11" width="18.57421875" style="0" customWidth="1"/>
    <col min="12" max="12" width="5.00390625" style="0" customWidth="1"/>
    <col min="13" max="13" width="6.140625" style="0" customWidth="1"/>
    <col min="14" max="14" width="12.00390625" style="0" customWidth="1"/>
    <col min="15" max="15" width="9.7109375" style="0" customWidth="1"/>
    <col min="17" max="17" width="10.28125" style="0" customWidth="1"/>
    <col min="18" max="18" width="10.421875" style="0" customWidth="1"/>
  </cols>
  <sheetData>
    <row r="5" spans="3:11" ht="13.5" customHeight="1" thickBot="1">
      <c r="C5" s="115" t="s">
        <v>215</v>
      </c>
      <c r="J5" s="13" t="b">
        <v>0</v>
      </c>
      <c r="K5" s="13">
        <v>2</v>
      </c>
    </row>
    <row r="6" spans="3:15" ht="12.75">
      <c r="C6" s="25"/>
      <c r="D6" s="26" t="s">
        <v>10</v>
      </c>
      <c r="E6" s="27"/>
      <c r="F6" s="28"/>
      <c r="G6" s="29"/>
      <c r="H6" s="28"/>
      <c r="I6" s="39"/>
      <c r="J6" s="382" t="s">
        <v>214</v>
      </c>
      <c r="K6" s="383"/>
      <c r="L6" s="117"/>
      <c r="M6" s="102"/>
      <c r="N6" s="386" t="s">
        <v>38</v>
      </c>
      <c r="O6" s="387"/>
    </row>
    <row r="7" spans="3:15" ht="12.75">
      <c r="C7" s="30"/>
      <c r="D7" s="20" t="s">
        <v>9</v>
      </c>
      <c r="E7" s="16"/>
      <c r="F7" s="22"/>
      <c r="G7" s="17"/>
      <c r="H7" s="33"/>
      <c r="I7" s="40"/>
      <c r="J7" s="37"/>
      <c r="K7" s="37"/>
      <c r="L7" s="380" t="s">
        <v>8</v>
      </c>
      <c r="M7" s="381"/>
      <c r="N7" s="388"/>
      <c r="O7" s="389"/>
    </row>
    <row r="8" spans="3:15" ht="14.25" thickBot="1">
      <c r="C8" s="31" t="s">
        <v>12</v>
      </c>
      <c r="D8" s="21" t="s">
        <v>11</v>
      </c>
      <c r="E8" s="18" t="s">
        <v>186</v>
      </c>
      <c r="F8" s="23" t="s">
        <v>188</v>
      </c>
      <c r="G8" s="19"/>
      <c r="H8" s="35" t="s">
        <v>7</v>
      </c>
      <c r="I8" s="41"/>
      <c r="J8" s="38"/>
      <c r="K8" s="116" t="s">
        <v>56</v>
      </c>
      <c r="L8" s="398" t="s">
        <v>7</v>
      </c>
      <c r="M8" s="399"/>
      <c r="N8" s="384" t="s">
        <v>347</v>
      </c>
      <c r="O8" s="385"/>
    </row>
    <row r="9" spans="2:15" ht="16.5" customHeight="1">
      <c r="B9" s="284">
        <v>82</v>
      </c>
      <c r="C9" s="320">
        <f>+IF('%Shrinkage &amp; SG'!R123=0,NA(),'%Shrinkage &amp; SG'!R123)</f>
        <v>0.41</v>
      </c>
      <c r="D9" s="259">
        <f>+'%Shrinkage &amp; SG'!T123</f>
        <v>7.95</v>
      </c>
      <c r="E9" s="59">
        <v>118.6</v>
      </c>
      <c r="F9" s="157">
        <f>+ROUND(J25,2)</f>
        <v>0.41</v>
      </c>
      <c r="G9" s="24" t="str">
        <f>+CONCATENATE("@ ",I25,"% MC")</f>
        <v>@ 118.6% MC</v>
      </c>
      <c r="H9" s="34" t="str">
        <f>IF($J$5=TRUE,CONCATENATE(ROUND(F9*1000*(1+(I25/100)),1)," kg/m3"),CONCATENATE(ROUND(F9*62.427961*(1+(I25/100)),1)," lbs/ft3"))</f>
        <v>56 lbs/ft3</v>
      </c>
      <c r="I9" s="42" t="str">
        <f>+CONCATENATE("@ ",I25,"% MC")</f>
        <v>@ 118.6% MC</v>
      </c>
      <c r="J9" s="44"/>
      <c r="K9" s="146" t="str">
        <f>IF($J$5=TRUE,CONCATENATE(ROUND(0.453592*E25*'cuft per BF'!$I$41,2)," kg"),CONCATENATE(ROUND(D25*'cuft per BF'!$I$41,2)," lbs"))</f>
        <v>1.76 lbs</v>
      </c>
      <c r="L9" s="158">
        <f>C25</f>
        <v>27.80604455187398</v>
      </c>
      <c r="M9" s="103" t="str">
        <f>IF($J$5=TRUE," kg/m3"," lbs/ft3")</f>
        <v> lbs/ft3</v>
      </c>
      <c r="N9" s="390" t="str">
        <f>IF($J$5=TRUE,CONCATENATE(ROUND((I25/100)*C25,1)," kg/m3 @",I25,"% MC"),CONCATENATE(ROUND((I25/100)*C25,1)," lbs/ft3 @",I25,"% MC"))</f>
        <v>33 lbs/ft3 @118.6% MC</v>
      </c>
      <c r="O9" s="391"/>
    </row>
    <row r="10" spans="2:15" ht="16.5" customHeight="1">
      <c r="B10" s="284">
        <v>83</v>
      </c>
      <c r="C10" s="320">
        <f>+IF('%Shrinkage &amp; SG'!V123=0,NA(),'%Shrinkage &amp; SG'!V123)</f>
        <v>0.48</v>
      </c>
      <c r="D10" s="259">
        <f>+'%Shrinkage &amp; SG'!X123</f>
        <v>14</v>
      </c>
      <c r="E10" s="59">
        <v>100</v>
      </c>
      <c r="F10" s="157">
        <f>+ROUND(J26,2)</f>
        <v>0.48</v>
      </c>
      <c r="G10" s="24" t="str">
        <f>+CONCATENATE("@ ",I26,"% MC")</f>
        <v>@ 100% MC</v>
      </c>
      <c r="H10" s="34" t="str">
        <f>IF($J$5=TRUE,CONCATENATE(ROUND(F10*1000*(1+(I26/100)),1)," kg/m3"),CONCATENATE(ROUND(F10*62.427961*(1+(I26/100)),1)," lbs/ft3"))</f>
        <v>59.9 lbs/ft3</v>
      </c>
      <c r="I10" s="42" t="str">
        <f>+CONCATENATE("@ ",I26,"% MC")</f>
        <v>@ 100% MC</v>
      </c>
      <c r="J10" s="45"/>
      <c r="K10" s="147" t="str">
        <f>IF($J$5=TRUE,CONCATENATE(ROUND(0.453592*E26*'cuft per BF'!$I$41,2)," kg"),CONCATENATE(ROUND(D26*'cuft per BF'!$I$41,2)," lbs"))</f>
        <v>2.15 lbs</v>
      </c>
      <c r="L10" s="157">
        <f>C26</f>
        <v>34.84351311627907</v>
      </c>
      <c r="M10" s="104" t="str">
        <f>IF($J$5=TRUE," kg/m3"," lbs/ft3")</f>
        <v> lbs/ft3</v>
      </c>
      <c r="N10" s="376" t="str">
        <f>IF($J$5=TRUE,CONCATENATE(ROUND((I26/100)*C26,1)," kg/m3 @",I26,"% MC"),CONCATENATE(ROUND((I26/100)*C26,1)," lbs/ft3 @",I26,"% MC"))</f>
        <v>34.8 lbs/ft3 @100% MC</v>
      </c>
      <c r="O10" s="377"/>
    </row>
    <row r="11" spans="3:15" ht="12.75">
      <c r="C11" s="58"/>
      <c r="D11" s="59"/>
      <c r="E11" s="59"/>
      <c r="F11" s="157" t="e">
        <f>+ROUND(J27,2)</f>
        <v>#N/A</v>
      </c>
      <c r="G11" s="24" t="str">
        <f>+CONCATENATE("@ ",I27,"% MC")</f>
        <v>@ 0% MC</v>
      </c>
      <c r="H11" s="34" t="e">
        <f>IF($J$5=TRUE,CONCATENATE(ROUND(F11*1000*(1+(I27/100)),1)," kg/m3"),CONCATENATE(ROUND(F11*62.427961*(1+(I27/100)),1)," lbs/ft3"))</f>
        <v>#N/A</v>
      </c>
      <c r="I11" s="42" t="str">
        <f>+CONCATENATE("@ ",I27,"% MC")</f>
        <v>@ 0% MC</v>
      </c>
      <c r="J11" s="46"/>
      <c r="K11" s="147" t="e">
        <f>IF($J$5=TRUE,CONCATENATE(ROUND(0.453592*E27*'cuft per BF'!$I$41,2)," kg"),CONCATENATE(ROUND(D27*'cuft per BF'!$I$41,2)," lbs"))</f>
        <v>#N/A</v>
      </c>
      <c r="L11" s="157" t="e">
        <f>C27</f>
        <v>#N/A</v>
      </c>
      <c r="M11" s="104" t="str">
        <f>IF($J$5=TRUE," kg/m3"," lbs/ft3")</f>
        <v> lbs/ft3</v>
      </c>
      <c r="N11" s="376" t="e">
        <f>IF($J$5=TRUE,CONCATENATE(ROUND((I27/100)*C27,1)," kg/m3 @",I27,"% MC"),CONCATENATE(ROUND((I27/100)*C27,1)," lbs/ft3 @",I27,"% MC"))</f>
        <v>#N/A</v>
      </c>
      <c r="O11" s="377"/>
    </row>
    <row r="12" spans="3:15" ht="13.5" thickBot="1">
      <c r="C12" s="60"/>
      <c r="D12" s="61"/>
      <c r="E12" s="61"/>
      <c r="F12" s="153" t="e">
        <f>+ROUND(J28,2)</f>
        <v>#N/A</v>
      </c>
      <c r="G12" s="32" t="str">
        <f>+CONCATENATE("@ ",I28,"% MC")</f>
        <v>@ 0% MC</v>
      </c>
      <c r="H12" s="153" t="e">
        <f>IF($J$5=TRUE,CONCATENATE(ROUND(F12*1000*(1+(I28/100)),1)," kg/m3"),CONCATENATE(ROUND(F12*62.427961*(1+(I28/100)),1)," lbs/ft3"))</f>
        <v>#N/A</v>
      </c>
      <c r="I12" s="43" t="str">
        <f>+CONCATENATE("@ ",I28,"% MC")</f>
        <v>@ 0% MC</v>
      </c>
      <c r="J12" s="154"/>
      <c r="K12" s="155" t="e">
        <f>IF($J$5=TRUE,CONCATENATE(ROUND(0.453592*E28*'cuft per BF'!$I$41,2)," kg"),CONCATENATE(ROUND(D28*'cuft per BF'!$I$41,2)," lbs"))</f>
        <v>#N/A</v>
      </c>
      <c r="L12" s="153" t="e">
        <f>C28</f>
        <v>#N/A</v>
      </c>
      <c r="M12" s="105" t="str">
        <f>IF($J$5=TRUE," kg/m3"," lbs/ft3")</f>
        <v> lbs/ft3</v>
      </c>
      <c r="N12" s="378" t="e">
        <f>IF($J$5=TRUE,CONCATENATE(ROUND((I28/100)*C28,1)," kg/m3 @",I28,"% MC"),CONCATENATE(ROUND((I28/100)*C28,1)," lbs/ft3 @",I28,"% MC"))</f>
        <v>#N/A</v>
      </c>
      <c r="O12" s="379"/>
    </row>
    <row r="13" spans="14:23" ht="6.75" customHeight="1">
      <c r="N13" s="1"/>
      <c r="P13" s="10"/>
      <c r="Q13" s="10"/>
      <c r="R13" s="10"/>
      <c r="S13" s="10"/>
      <c r="T13" s="10"/>
      <c r="U13" s="10"/>
      <c r="V13" s="10"/>
      <c r="W13" s="10"/>
    </row>
    <row r="14" spans="3:11" ht="17.25" thickBot="1">
      <c r="C14" s="115" t="s">
        <v>216</v>
      </c>
      <c r="E14" s="119"/>
      <c r="F14" s="114"/>
      <c r="G14" s="113"/>
      <c r="H14" s="119" t="b">
        <v>0</v>
      </c>
      <c r="I14" s="120">
        <v>26</v>
      </c>
      <c r="K14" s="118"/>
    </row>
    <row r="15" spans="3:18" ht="12.75">
      <c r="C15" s="25"/>
      <c r="D15" s="26" t="s">
        <v>10</v>
      </c>
      <c r="E15" s="28"/>
      <c r="F15" s="39"/>
      <c r="G15" s="382" t="s">
        <v>214</v>
      </c>
      <c r="H15" s="383"/>
      <c r="I15" s="117"/>
      <c r="J15" s="102"/>
      <c r="K15" s="386" t="s">
        <v>38</v>
      </c>
      <c r="L15" s="387"/>
      <c r="M15" s="10"/>
      <c r="N15" s="10"/>
      <c r="O15" s="10"/>
      <c r="P15" s="10"/>
      <c r="Q15" s="10"/>
      <c r="R15" s="10"/>
    </row>
    <row r="16" spans="3:18" ht="12.75">
      <c r="C16" s="30"/>
      <c r="D16" s="20" t="s">
        <v>9</v>
      </c>
      <c r="E16" s="37"/>
      <c r="F16" s="40"/>
      <c r="G16" s="37"/>
      <c r="H16" s="37"/>
      <c r="I16" s="380" t="s">
        <v>8</v>
      </c>
      <c r="J16" s="381"/>
      <c r="K16" s="388"/>
      <c r="L16" s="389"/>
      <c r="M16" s="10"/>
      <c r="N16" s="10"/>
      <c r="O16" s="10"/>
      <c r="P16" s="10"/>
      <c r="Q16" s="10"/>
      <c r="R16" s="10"/>
    </row>
    <row r="17" spans="3:20" ht="14.25" thickBot="1">
      <c r="C17" s="31" t="s">
        <v>196</v>
      </c>
      <c r="D17" s="21" t="s">
        <v>11</v>
      </c>
      <c r="E17" s="35" t="s">
        <v>7</v>
      </c>
      <c r="F17" s="41"/>
      <c r="G17" s="394" t="s">
        <v>56</v>
      </c>
      <c r="H17" s="395"/>
      <c r="I17" s="398" t="s">
        <v>7</v>
      </c>
      <c r="J17" s="399"/>
      <c r="K17" s="398" t="s">
        <v>347</v>
      </c>
      <c r="L17" s="385"/>
      <c r="S17" s="156"/>
      <c r="T17" s="15"/>
    </row>
    <row r="18" spans="2:20" ht="16.5" customHeight="1">
      <c r="B18" s="284">
        <v>97</v>
      </c>
      <c r="C18" s="320">
        <f>+IF('%Shrinkage &amp; SG'!S123=0,NA(),'%Shrinkage &amp; SG'!S123)</f>
        <v>0.45</v>
      </c>
      <c r="D18" s="259">
        <f>+'%Shrinkage &amp; SG'!U123</f>
        <v>10.4</v>
      </c>
      <c r="E18" s="34" t="str">
        <f>IF($H$14=TRUE,CONCATENATE(ROUND(C18*1000*1.12,1)," kg/m3"),CONCATENATE(ROUND(C18*62.427961*1.12,1)," lbs/ft3"))</f>
        <v>31.5 lbs/ft3</v>
      </c>
      <c r="F18" s="42" t="str">
        <f>+CONCATENATE("@ ","12% MC")</f>
        <v>@ 12% MC</v>
      </c>
      <c r="G18" s="396" t="str">
        <f>IF($H$14=TRUE,CONCATENATE(ROUND(0.453592*E31*'cuft per BF'!$J$41,2)," kg"),CONCATENATE(ROUND(D31*'cuft per BF'!$J$41,2)," lbs"))</f>
        <v>1.75 lbs</v>
      </c>
      <c r="H18" s="397"/>
      <c r="I18" s="396" t="str">
        <f>IF($H$14=TRUE,CONCATENATE(ROUND(C31,1)," kg/m3"),CONCATENATE(ROUND(C31,1)," lbs/ft3"))</f>
        <v>29.3 lbs/ft3</v>
      </c>
      <c r="J18" s="397"/>
      <c r="K18" s="390" t="str">
        <f>IF($H$14=TRUE,CONCATENATE(ROUND(0.12*C31,1)," kg/m3 @12% MC"),CONCATENATE(ROUND(0.12*C31,1)," lbs/ft3 @12% MC"))</f>
        <v>3.5 lbs/ft3 @12% MC</v>
      </c>
      <c r="L18" s="391"/>
      <c r="S18" s="15"/>
      <c r="T18" s="15"/>
    </row>
    <row r="19" spans="2:20" ht="16.5" customHeight="1">
      <c r="B19" s="284">
        <v>70</v>
      </c>
      <c r="C19" s="320">
        <f>+IF('%Shrinkage &amp; SG'!W123=0,NA(),'%Shrinkage &amp; SG'!W123)</f>
        <v>0.48</v>
      </c>
      <c r="D19" s="259">
        <f>+'%Shrinkage &amp; SG'!Y123</f>
        <v>12.4</v>
      </c>
      <c r="E19" s="34" t="str">
        <f>IF($H$14=TRUE,CONCATENATE(ROUND(C19*1000*1.12,1)," kg/m3"),CONCATENATE(ROUND(C19*62.427961*1.12,1)," lbs/ft3"))</f>
        <v>33.6 lbs/ft3</v>
      </c>
      <c r="F19" s="42" t="str">
        <f>+CONCATENATE("@ ","12% MC")</f>
        <v>@ 12% MC</v>
      </c>
      <c r="G19" s="392" t="str">
        <f>IF($H$14=TRUE,CONCATENATE(ROUND(0.453592*E32*'cuft per BF'!$J$41,2)," kg"),CONCATENATE(ROUND(D32*'cuft per BF'!$J$41,2)," lbs"))</f>
        <v>1.87 lbs</v>
      </c>
      <c r="H19" s="393"/>
      <c r="I19" s="392" t="str">
        <f>IF($H$14=TRUE,CONCATENATE(ROUND(C32,1)," kg/m3"),CONCATENATE(ROUND(C32,1)," lbs/ft3"))</f>
        <v>31.5 lbs/ft3</v>
      </c>
      <c r="J19" s="393"/>
      <c r="K19" s="376" t="str">
        <f>IF($H$14=TRUE,CONCATENATE(ROUND(0.12*C32,1)," kg/m3 @12% MC"),CONCATENATE(ROUND(0.12*C32,1)," lbs/ft3 @12% MC"))</f>
        <v>3.8 lbs/ft3 @12% MC</v>
      </c>
      <c r="L19" s="377"/>
      <c r="S19" s="15"/>
      <c r="T19" s="15"/>
    </row>
    <row r="20" spans="3:20" ht="12.75">
      <c r="C20" s="58"/>
      <c r="D20" s="59"/>
      <c r="E20" s="34" t="str">
        <f>IF($H$14=TRUE,CONCATENATE(ROUND(C20*1000*1.12,1)," kg/m3"),CONCATENATE(ROUND(C20*62.427961*1.12,1)," lbs/ft3"))</f>
        <v>0 lbs/ft3</v>
      </c>
      <c r="F20" s="42" t="str">
        <f>+CONCATENATE("@ ","12% MC")</f>
        <v>@ 12% MC</v>
      </c>
      <c r="G20" s="392" t="e">
        <f>IF($H$14=TRUE,CONCATENATE(ROUND(0.453592*E33*'cuft per BF'!$J$41,2)," kg"),CONCATENATE(ROUND(D33*'cuft per BF'!$J$41,2)," lbs"))</f>
        <v>#N/A</v>
      </c>
      <c r="H20" s="393"/>
      <c r="I20" s="392" t="e">
        <f>IF($H$14=TRUE,CONCATENATE(ROUND(C33,1)," kg/m3"),CONCATENATE(ROUND(C33,1)," lbs/ft3"))</f>
        <v>#N/A</v>
      </c>
      <c r="J20" s="393"/>
      <c r="K20" s="376" t="e">
        <f>IF($H$14=TRUE,CONCATENATE(ROUND(0.12*C33,1)," kg/m3 @12% MC"),CONCATENATE(ROUND(0.12*C33,1)," lbs/ft3 @12% MC"))</f>
        <v>#N/A</v>
      </c>
      <c r="L20" s="377"/>
      <c r="S20" s="15"/>
      <c r="T20" s="15"/>
    </row>
    <row r="21" spans="3:20" ht="13.5" thickBot="1">
      <c r="C21" s="60"/>
      <c r="D21" s="61"/>
      <c r="E21" s="148" t="str">
        <f>IF($H$14=TRUE,CONCATENATE(ROUND(C21*1000*1.12,1)," kg/m3"),CONCATENATE(ROUND(C21*62.427961*1.12,1)," lbs/ft3"))</f>
        <v>0 lbs/ft3</v>
      </c>
      <c r="F21" s="43" t="str">
        <f>+CONCATENATE("@ ","12% MC")</f>
        <v>@ 12% MC</v>
      </c>
      <c r="G21" s="400" t="e">
        <f>IF($H$14=TRUE,CONCATENATE(ROUND(0.453592*E34*'cuft per BF'!$J$41,2)," kg"),CONCATENATE(ROUND(D34*'cuft per BF'!$J$41,2)," lbs"))</f>
        <v>#N/A</v>
      </c>
      <c r="H21" s="401"/>
      <c r="I21" s="400" t="e">
        <f>IF($H$14=TRUE,CONCATENATE(ROUND(C34,1)," kg/m3"),CONCATENATE(ROUND(C34,1)," lbs/ft3"))</f>
        <v>#N/A</v>
      </c>
      <c r="J21" s="401"/>
      <c r="K21" s="378" t="e">
        <f>IF($H$14=TRUE,CONCATENATE(ROUND(0.12*C34,1)," kg/m3 @12% MC"),CONCATENATE(ROUND(0.12*C34,1)," lbs/ft3 @12% MC"))</f>
        <v>#N/A</v>
      </c>
      <c r="L21" s="379"/>
      <c r="S21" s="15"/>
      <c r="T21" s="15"/>
    </row>
    <row r="24" spans="3:12" ht="12.75">
      <c r="C24" s="159" t="s">
        <v>199</v>
      </c>
      <c r="D24" s="159" t="s">
        <v>200</v>
      </c>
      <c r="E24" s="159" t="s">
        <v>201</v>
      </c>
      <c r="F24" s="159" t="s">
        <v>211</v>
      </c>
      <c r="G24" s="159" t="s">
        <v>212</v>
      </c>
      <c r="H24" s="159" t="s">
        <v>9</v>
      </c>
      <c r="I24" s="159" t="s">
        <v>90</v>
      </c>
      <c r="J24" s="159" t="s">
        <v>213</v>
      </c>
      <c r="K24" s="10"/>
      <c r="L24" s="15"/>
    </row>
    <row r="25" spans="3:12" ht="12.75">
      <c r="C25" s="10">
        <f>IF($J$5=TRUE,F25*1000,F25*62.427961)</f>
        <v>27.80604455187398</v>
      </c>
      <c r="D25" s="149">
        <f>IF($J$5=TRUE,G25*1000*1.15,G25*62.427961*1.15)</f>
        <v>30.754461394234266</v>
      </c>
      <c r="E25" s="10">
        <f>(D25)*(0.062428)</f>
        <v>1.9199395159192567</v>
      </c>
      <c r="F25" s="10">
        <f>C9/(1-(H25/100))</f>
        <v>0.44541010320478</v>
      </c>
      <c r="G25" s="10">
        <f>IF($J$5=TRUE,C25/(1000*(1+((H25/100)*0.5))),C25/(62.427961*(1+((H25/100)*0.5))))</f>
        <v>0.4283819218127242</v>
      </c>
      <c r="H25" s="10">
        <f>+IF(ISBLANK(D9),NA(),D9)</f>
        <v>7.95</v>
      </c>
      <c r="I25" s="10">
        <f>+IF(ISBLANK(E9),0,E9)</f>
        <v>118.6</v>
      </c>
      <c r="J25" s="10">
        <f>+IF(I25&gt;=30,C9,IF($J$5=TRUE,L9/(1000*(1+((H25/100*(I25)/30)))),L9/(62.427961*(1+((H25/100*(I25)/30))))))</f>
        <v>0.41</v>
      </c>
      <c r="K25" s="10"/>
      <c r="L25" s="15"/>
    </row>
    <row r="26" spans="3:12" ht="12.75">
      <c r="C26" s="10">
        <f>IF($J$5=TRUE,F26*1000,F26*62.427961)</f>
        <v>34.84351311627907</v>
      </c>
      <c r="D26" s="149">
        <f>IF($J$5=TRUE,G26*1000*1.15,G26*62.427961*1.15)</f>
        <v>37.44863559226254</v>
      </c>
      <c r="E26" s="10">
        <f>(D26)*(0.062428)</f>
        <v>2.3378434227537657</v>
      </c>
      <c r="F26" s="10">
        <f>C10/(1-(H26/100))</f>
        <v>0.5581395348837209</v>
      </c>
      <c r="G26" s="10">
        <f>IF($J$5=TRUE,C26/(1000*(1+((H26/100)*0.5))),C26/(62.427961*(1+((H26/100)*0.5))))</f>
        <v>0.5216257335361877</v>
      </c>
      <c r="H26" s="10">
        <f>+IF(ISBLANK(D10),NA(),D10)</f>
        <v>14</v>
      </c>
      <c r="I26" s="10">
        <f>+IF(ISBLANK(E10),0,E10)</f>
        <v>100</v>
      </c>
      <c r="J26" s="10">
        <f>+IF(I26&gt;=30,C10,IF($J$5=TRUE,L10/(1000*(1+((H26/100*(I26)/30)))),L10/(62.427961*(1+((H26/100*(I26)/30))))))</f>
        <v>0.48</v>
      </c>
      <c r="K26" s="10"/>
      <c r="L26" s="15"/>
    </row>
    <row r="27" spans="3:12" ht="12.75">
      <c r="C27" s="10" t="e">
        <f>IF($J$5=TRUE,F27*1000,F27*62.427961)</f>
        <v>#N/A</v>
      </c>
      <c r="D27" s="149" t="e">
        <f>IF($J$5=TRUE,G27*1000*1.15,G27*62.427961*1.15)</f>
        <v>#N/A</v>
      </c>
      <c r="E27" s="10" t="e">
        <f>(D27)*(0.062428)</f>
        <v>#N/A</v>
      </c>
      <c r="F27" s="10" t="e">
        <f>C11/(1-(H27/100))</f>
        <v>#N/A</v>
      </c>
      <c r="G27" s="10" t="e">
        <f>IF($J$5=TRUE,C27/(1000*(1+((H27/100)*0.5))),C27/(62.427961*(1+((H27/100)*0.5))))</f>
        <v>#N/A</v>
      </c>
      <c r="H27" s="10" t="e">
        <f>+IF(ISBLANK(D11),NA(),D11)</f>
        <v>#N/A</v>
      </c>
      <c r="I27" s="10">
        <f>+IF(ISBLANK(E11),0,E11)</f>
        <v>0</v>
      </c>
      <c r="J27" s="10" t="e">
        <f>+IF(I27&gt;=30,C11,IF($J$5=TRUE,L11/(1000*(1+((H27/100*(I27)/30)))),L11/(62.427961*(1+((H27/100*(I27)/30))))))</f>
        <v>#N/A</v>
      </c>
      <c r="K27" s="10"/>
      <c r="L27" s="15"/>
    </row>
    <row r="28" spans="3:12" ht="12.75">
      <c r="C28" s="10" t="e">
        <f>IF($J$5=TRUE,F28*1000,F28*62.427961)</f>
        <v>#N/A</v>
      </c>
      <c r="D28" s="149" t="e">
        <f>IF($J$5=TRUE,G28*1000*1.15,G28*62.427961*1.15)</f>
        <v>#N/A</v>
      </c>
      <c r="E28" s="10" t="e">
        <f>(D28)*(0.062428)</f>
        <v>#N/A</v>
      </c>
      <c r="F28" s="10" t="e">
        <f>C12/(1-(H28/100))</f>
        <v>#N/A</v>
      </c>
      <c r="G28" s="10" t="e">
        <f>IF($J$5=TRUE,C28/(1000*(1+((H28/100)*0.5))),C28/(62.427961*(1+((H28/100)*0.5))))</f>
        <v>#N/A</v>
      </c>
      <c r="H28" s="10" t="e">
        <f>+IF(ISBLANK(D12),NA(),D12)</f>
        <v>#N/A</v>
      </c>
      <c r="I28" s="10">
        <f>+IF(ISBLANK(E12),0,E12)</f>
        <v>0</v>
      </c>
      <c r="J28" s="10" t="e">
        <f>+IF(I28&gt;=30,C12,IF($J$5=TRUE,L12/(1000*(1+((H28/100*(I28)/30)))),L12/(62.427961*(1+((H28/100*(I28)/30))))))</f>
        <v>#N/A</v>
      </c>
      <c r="K28" s="10"/>
      <c r="L28" s="15"/>
    </row>
    <row r="29" spans="3:12" ht="12.75">
      <c r="C29" s="10"/>
      <c r="D29" s="10"/>
      <c r="E29" s="10"/>
      <c r="F29" s="10"/>
      <c r="G29" s="10"/>
      <c r="H29" s="10"/>
      <c r="I29" s="10"/>
      <c r="J29" s="10"/>
      <c r="K29" s="10"/>
      <c r="L29" s="15"/>
    </row>
    <row r="30" spans="3:12" ht="12.75">
      <c r="C30" s="159" t="s">
        <v>199</v>
      </c>
      <c r="D30" s="159" t="s">
        <v>200</v>
      </c>
      <c r="E30" s="159" t="s">
        <v>201</v>
      </c>
      <c r="F30" s="159" t="s">
        <v>211</v>
      </c>
      <c r="G30" s="159" t="s">
        <v>212</v>
      </c>
      <c r="H30" s="159" t="s">
        <v>9</v>
      </c>
      <c r="I30" s="10"/>
      <c r="J30" s="10"/>
      <c r="K30" s="10"/>
      <c r="L30" s="15"/>
    </row>
    <row r="31" spans="3:12" ht="12.75">
      <c r="C31" s="10">
        <f>IF($H$14=TRUE,F31*1000,F31*62.427961)</f>
        <v>29.311959985392324</v>
      </c>
      <c r="D31" s="149">
        <f>IF($H$14=TRUE,G31*1000*1.15,G31*62.427961*1.15)</f>
        <v>32.04254180912659</v>
      </c>
      <c r="E31" s="10">
        <f>(D31)*(0.062428)</f>
        <v>2.000351800060155</v>
      </c>
      <c r="F31" s="10">
        <f>C18/(1-(H31/100)*0.4)</f>
        <v>0.46953255425709517</v>
      </c>
      <c r="G31" s="10">
        <f>IF($H$14=TRUE,C31/(1000*(1+((H31/100)*0.5))),C31/(62.427961*(1+((H31/100)*0.5))))</f>
        <v>0.44632372077670646</v>
      </c>
      <c r="H31" s="10">
        <f>+IF(ISBLANK(D18),NA(),D18)</f>
        <v>10.4</v>
      </c>
      <c r="I31" s="10"/>
      <c r="J31" s="10"/>
      <c r="K31" s="10"/>
      <c r="L31" s="15"/>
    </row>
    <row r="32" spans="3:12" ht="12.75">
      <c r="C32" s="10">
        <f>IF($H$14=TRUE,F32*1000,F32*62.427961)</f>
        <v>31.52927323232323</v>
      </c>
      <c r="D32" s="149">
        <f>IF($H$14=TRUE,G32*1000*1.15,G32*62.427961*1.15)</f>
        <v>34.14186837775114</v>
      </c>
      <c r="E32" s="10">
        <f>(D32)*(0.062428)</f>
        <v>2.131408559086248</v>
      </c>
      <c r="F32" s="10">
        <f>C19/(1-(H32/100)*0.4)</f>
        <v>0.505050505050505</v>
      </c>
      <c r="G32" s="10">
        <f>IF($H$14=TRUE,C32/(1000*(1+((H32/100)*0.5))),C32/(62.427961*(1+((H32/100)*0.5))))</f>
        <v>0.4755654473168597</v>
      </c>
      <c r="H32" s="10">
        <f>+IF(ISBLANK(D19),NA(),D19)</f>
        <v>12.4</v>
      </c>
      <c r="I32" s="10"/>
      <c r="J32" s="10"/>
      <c r="K32" s="10"/>
      <c r="L32" s="15"/>
    </row>
    <row r="33" spans="3:12" ht="12.75">
      <c r="C33" s="10" t="e">
        <f>IF($H$14=TRUE,F33*1000,F33*62.427961)</f>
        <v>#N/A</v>
      </c>
      <c r="D33" s="149" t="e">
        <f>IF($H$14=TRUE,G33*1000*1.15,G33*62.427961*1.15)</f>
        <v>#N/A</v>
      </c>
      <c r="E33" s="10" t="e">
        <f>(D33)*(0.062428)</f>
        <v>#N/A</v>
      </c>
      <c r="F33" s="10" t="e">
        <f>C20/(1-(H33/100)*0.4)</f>
        <v>#N/A</v>
      </c>
      <c r="G33" s="10" t="e">
        <f>IF($H$14=TRUE,C33/(1000*(1+((H33/100)*0.5))),C33/(62.427961*(1+((H33/100)*0.5))))</f>
        <v>#N/A</v>
      </c>
      <c r="H33" s="10" t="e">
        <f>+IF(ISBLANK(D20),NA(),D20)</f>
        <v>#N/A</v>
      </c>
      <c r="I33" s="10"/>
      <c r="J33" s="10"/>
      <c r="K33" s="10"/>
      <c r="L33" s="15"/>
    </row>
    <row r="34" spans="3:12" ht="12.75">
      <c r="C34" s="10" t="e">
        <f>IF($H$14=TRUE,F34*1000,F34*62.427961)</f>
        <v>#N/A</v>
      </c>
      <c r="D34" s="149" t="e">
        <f>IF($H$14=TRUE,G34*1000*1.15,G34*62.427961*1.15)</f>
        <v>#N/A</v>
      </c>
      <c r="E34" s="10" t="e">
        <f>(D34)*(0.062428)</f>
        <v>#N/A</v>
      </c>
      <c r="F34" s="10" t="e">
        <f>C21/(1-(H34/100)*0.4)</f>
        <v>#N/A</v>
      </c>
      <c r="G34" s="10" t="e">
        <f>IF($H$14=TRUE,C34/(1000*(1+((H34/100)*0.5))),C34/(62.427961*(1+((H34/100)*0.5))))</f>
        <v>#N/A</v>
      </c>
      <c r="H34" s="10" t="e">
        <f>+IF(ISBLANK(D21),NA(),D21)</f>
        <v>#N/A</v>
      </c>
      <c r="I34" s="10"/>
      <c r="J34" s="10"/>
      <c r="K34" s="10"/>
      <c r="L34" s="15"/>
    </row>
    <row r="35" spans="3:12" ht="12.75">
      <c r="C35" s="15"/>
      <c r="D35" s="15"/>
      <c r="E35" s="15"/>
      <c r="F35" s="15"/>
      <c r="G35" s="15"/>
      <c r="H35" s="15"/>
      <c r="I35" s="15"/>
      <c r="J35" s="15"/>
      <c r="K35" s="15"/>
      <c r="L35" s="15"/>
    </row>
  </sheetData>
  <sheetProtection sheet="1" objects="1" scenarios="1"/>
  <mergeCells count="27">
    <mergeCell ref="K21:L21"/>
    <mergeCell ref="K15:L16"/>
    <mergeCell ref="K17:L17"/>
    <mergeCell ref="L8:M8"/>
    <mergeCell ref="I16:J16"/>
    <mergeCell ref="I17:J17"/>
    <mergeCell ref="G21:H21"/>
    <mergeCell ref="K19:L19"/>
    <mergeCell ref="I18:J18"/>
    <mergeCell ref="I20:J20"/>
    <mergeCell ref="I21:J21"/>
    <mergeCell ref="K18:L18"/>
    <mergeCell ref="I19:J19"/>
    <mergeCell ref="K20:L20"/>
    <mergeCell ref="G19:H19"/>
    <mergeCell ref="G20:H20"/>
    <mergeCell ref="G17:H17"/>
    <mergeCell ref="G18:H18"/>
    <mergeCell ref="N11:O11"/>
    <mergeCell ref="N12:O12"/>
    <mergeCell ref="L7:M7"/>
    <mergeCell ref="G15:H15"/>
    <mergeCell ref="N8:O8"/>
    <mergeCell ref="N6:O7"/>
    <mergeCell ref="J6:K6"/>
    <mergeCell ref="N9:O9"/>
    <mergeCell ref="N10:O10"/>
  </mergeCells>
  <dataValidations count="3">
    <dataValidation type="decimal" allowBlank="1" showInputMessage="1" showErrorMessage="1" error="MC must be between 0 and 600" sqref="E9:E12">
      <formula1>0</formula1>
      <formula2>600</formula2>
    </dataValidation>
    <dataValidation type="decimal" allowBlank="1" showInputMessage="1" showErrorMessage="1" error="SG must be between 0 and 1.6" sqref="C11:C12 C20:C21">
      <formula1>0</formula1>
      <formula2>1.6</formula2>
    </dataValidation>
    <dataValidation type="decimal" allowBlank="1" showInputMessage="1" showErrorMessage="1" error="Shrinkage must be between 0 and 100" sqref="D18:D21 D9:D12">
      <formula1>0</formula1>
      <formula2>100</formula2>
    </dataValidation>
  </dataValidations>
  <printOptions/>
  <pageMargins left="0.52" right="0.32" top="0.49" bottom="1" header="0.5" footer="0.5"/>
  <pageSetup horizontalDpi="600" verticalDpi="600" orientation="landscape" scale="95" r:id="rId4"/>
  <colBreaks count="1" manualBreakCount="1">
    <brk id="15"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4"/>
  <dimension ref="B1:K41"/>
  <sheetViews>
    <sheetView showGridLines="0" workbookViewId="0" topLeftCell="A1">
      <selection activeCell="G12" sqref="G12"/>
    </sheetView>
  </sheetViews>
  <sheetFormatPr defaultColWidth="9.140625" defaultRowHeight="12.75"/>
  <cols>
    <col min="1" max="1" width="3.00390625" style="0" customWidth="1"/>
    <col min="2" max="2" width="9.28125" style="0" customWidth="1"/>
    <col min="3" max="3" width="10.00390625" style="0" customWidth="1"/>
    <col min="4" max="4" width="9.7109375" style="0" customWidth="1"/>
    <col min="5" max="5" width="11.7109375" style="0" bestFit="1" customWidth="1"/>
    <col min="6" max="6" width="11.57421875" style="0" bestFit="1" customWidth="1"/>
    <col min="7" max="7" width="11.00390625" style="0" bestFit="1" customWidth="1"/>
  </cols>
  <sheetData>
    <row r="1" ht="5.25" customHeight="1">
      <c r="E1" s="15"/>
    </row>
    <row r="2" ht="5.25" customHeight="1">
      <c r="E2" s="15"/>
    </row>
    <row r="3" spans="2:8" ht="12.75">
      <c r="B3" s="50" t="s">
        <v>60</v>
      </c>
      <c r="C3" s="52"/>
      <c r="D3" s="51" t="s">
        <v>57</v>
      </c>
      <c r="E3" s="52"/>
      <c r="F3" s="48" t="s">
        <v>57</v>
      </c>
      <c r="G3" s="57" t="s">
        <v>52</v>
      </c>
      <c r="H3" s="15"/>
    </row>
    <row r="4" spans="2:10" ht="12.75">
      <c r="B4" s="55" t="s">
        <v>58</v>
      </c>
      <c r="C4" s="54" t="s">
        <v>59</v>
      </c>
      <c r="D4" s="56" t="s">
        <v>87</v>
      </c>
      <c r="E4" s="54" t="s">
        <v>59</v>
      </c>
      <c r="F4" s="49" t="s">
        <v>61</v>
      </c>
      <c r="G4" s="49" t="s">
        <v>276</v>
      </c>
      <c r="H4" s="10"/>
      <c r="I4" s="10"/>
      <c r="J4" s="10"/>
    </row>
    <row r="5" spans="2:11" ht="12.75">
      <c r="B5" s="47">
        <v>0.75</v>
      </c>
      <c r="C5" s="47">
        <v>3.5</v>
      </c>
      <c r="D5" s="47">
        <v>1</v>
      </c>
      <c r="E5" s="47">
        <v>4</v>
      </c>
      <c r="F5" s="47" t="s">
        <v>62</v>
      </c>
      <c r="G5" s="47">
        <f>(B5*C5)/(D5*E5*12)</f>
        <v>0.0546875</v>
      </c>
      <c r="H5" s="10">
        <v>1</v>
      </c>
      <c r="I5" s="10">
        <f>+IF('SG &amp; Density'!$K$5=H5,G5,0)</f>
        <v>0</v>
      </c>
      <c r="J5" s="10">
        <f>+IF('SG &amp; Density'!$I$14=H5,G5,0)</f>
        <v>0</v>
      </c>
      <c r="K5" s="15"/>
    </row>
    <row r="6" spans="2:11" ht="12.75">
      <c r="B6" s="47">
        <v>0.75</v>
      </c>
      <c r="C6" s="47">
        <v>5.5</v>
      </c>
      <c r="D6" s="47">
        <v>1</v>
      </c>
      <c r="E6" s="47">
        <v>6</v>
      </c>
      <c r="F6" s="47" t="s">
        <v>63</v>
      </c>
      <c r="G6" s="47">
        <f aca="true" t="shared" si="0" ref="G6:G39">(B6*C6)/(D6*E6*12)</f>
        <v>0.057291666666666664</v>
      </c>
      <c r="H6" s="10">
        <v>2</v>
      </c>
      <c r="I6" s="10">
        <f>+IF('SG &amp; Density'!$K$5=H6,G6,0)</f>
        <v>0.057291666666666664</v>
      </c>
      <c r="J6" s="10">
        <f>+IF('SG &amp; Density'!$I$14=H6,G6,0)</f>
        <v>0</v>
      </c>
      <c r="K6" s="15"/>
    </row>
    <row r="7" spans="2:11" ht="12.75">
      <c r="B7" s="47">
        <v>0.75</v>
      </c>
      <c r="C7" s="47">
        <v>7.25</v>
      </c>
      <c r="D7" s="47">
        <v>1</v>
      </c>
      <c r="E7" s="47">
        <v>8</v>
      </c>
      <c r="F7" s="47" t="s">
        <v>64</v>
      </c>
      <c r="G7" s="47">
        <f t="shared" si="0"/>
        <v>0.056640625</v>
      </c>
      <c r="H7" s="10">
        <v>3</v>
      </c>
      <c r="I7" s="10">
        <f>+IF('SG &amp; Density'!$K$5=H7,G7,0)</f>
        <v>0</v>
      </c>
      <c r="J7" s="10">
        <f>+IF('SG &amp; Density'!$I$14=H7,G7,0)</f>
        <v>0</v>
      </c>
      <c r="K7" s="15"/>
    </row>
    <row r="8" spans="2:11" ht="12.75">
      <c r="B8" s="47">
        <v>0.75</v>
      </c>
      <c r="C8" s="47">
        <v>9.25</v>
      </c>
      <c r="D8" s="47">
        <v>1</v>
      </c>
      <c r="E8" s="47">
        <v>10</v>
      </c>
      <c r="F8" s="47" t="s">
        <v>65</v>
      </c>
      <c r="G8" s="47">
        <f t="shared" si="0"/>
        <v>0.0578125</v>
      </c>
      <c r="H8" s="10">
        <v>4</v>
      </c>
      <c r="I8" s="10">
        <f>+IF('SG &amp; Density'!$K$5=H8,G8,0)</f>
        <v>0</v>
      </c>
      <c r="J8" s="10">
        <f>+IF('SG &amp; Density'!$I$14=H8,G8,0)</f>
        <v>0</v>
      </c>
      <c r="K8" s="15"/>
    </row>
    <row r="9" spans="2:11" ht="12.75">
      <c r="B9" s="47">
        <v>0.75</v>
      </c>
      <c r="C9" s="47">
        <v>11.25</v>
      </c>
      <c r="D9" s="47">
        <v>1</v>
      </c>
      <c r="E9" s="47">
        <v>12</v>
      </c>
      <c r="F9" s="47" t="s">
        <v>66</v>
      </c>
      <c r="G9" s="47">
        <f t="shared" si="0"/>
        <v>0.05859375</v>
      </c>
      <c r="H9" s="10">
        <v>5</v>
      </c>
      <c r="I9" s="10">
        <f>+IF('SG &amp; Density'!$K$5=H9,G9,0)</f>
        <v>0</v>
      </c>
      <c r="J9" s="10">
        <f>+IF('SG &amp; Density'!$I$14=H9,G9,0)</f>
        <v>0</v>
      </c>
      <c r="K9" s="15"/>
    </row>
    <row r="10" spans="2:11" ht="12.75">
      <c r="B10" s="47">
        <v>1.15625</v>
      </c>
      <c r="C10" s="47">
        <v>3.5</v>
      </c>
      <c r="D10" s="53">
        <v>1.25</v>
      </c>
      <c r="E10" s="47">
        <v>4</v>
      </c>
      <c r="F10" s="47" t="s">
        <v>67</v>
      </c>
      <c r="G10" s="47">
        <f t="shared" si="0"/>
        <v>0.06744791666666666</v>
      </c>
      <c r="H10" s="10">
        <v>6</v>
      </c>
      <c r="I10" s="10">
        <f>+IF('SG &amp; Density'!$K$5=H10,G10,0)</f>
        <v>0</v>
      </c>
      <c r="J10" s="10">
        <f>+IF('SG &amp; Density'!$I$14=H10,G10,0)</f>
        <v>0</v>
      </c>
      <c r="K10" s="15"/>
    </row>
    <row r="11" spans="2:11" ht="12.75">
      <c r="B11" s="47">
        <v>1.15625</v>
      </c>
      <c r="C11" s="47">
        <v>5.5</v>
      </c>
      <c r="D11" s="53">
        <v>1.25</v>
      </c>
      <c r="E11" s="47">
        <v>6</v>
      </c>
      <c r="F11" s="47" t="s">
        <v>68</v>
      </c>
      <c r="G11" s="47">
        <f t="shared" si="0"/>
        <v>0.07065972222222222</v>
      </c>
      <c r="H11" s="10">
        <v>7</v>
      </c>
      <c r="I11" s="10">
        <f>+IF('SG &amp; Density'!$K$5=H11,G11,0)</f>
        <v>0</v>
      </c>
      <c r="J11" s="10">
        <f>+IF('SG &amp; Density'!$I$14=H11,G11,0)</f>
        <v>0</v>
      </c>
      <c r="K11" s="15"/>
    </row>
    <row r="12" spans="2:11" ht="12.75">
      <c r="B12" s="47">
        <v>1.15625</v>
      </c>
      <c r="C12" s="47">
        <v>7.25</v>
      </c>
      <c r="D12" s="53">
        <v>1.25</v>
      </c>
      <c r="E12" s="47">
        <v>8</v>
      </c>
      <c r="F12" s="47" t="s">
        <v>69</v>
      </c>
      <c r="G12" s="47">
        <f t="shared" si="0"/>
        <v>0.06985677083333333</v>
      </c>
      <c r="H12" s="10">
        <v>8</v>
      </c>
      <c r="I12" s="10">
        <f>+IF('SG &amp; Density'!$K$5=H12,G12,0)</f>
        <v>0</v>
      </c>
      <c r="J12" s="10">
        <f>+IF('SG &amp; Density'!$I$14=H12,G12,0)</f>
        <v>0</v>
      </c>
      <c r="K12" s="15"/>
    </row>
    <row r="13" spans="2:11" ht="12.75">
      <c r="B13" s="47">
        <v>1.15625</v>
      </c>
      <c r="C13" s="47">
        <v>9.25</v>
      </c>
      <c r="D13" s="53">
        <v>1.25</v>
      </c>
      <c r="E13" s="47">
        <v>10</v>
      </c>
      <c r="F13" s="47" t="s">
        <v>70</v>
      </c>
      <c r="G13" s="47">
        <f t="shared" si="0"/>
        <v>0.07130208333333334</v>
      </c>
      <c r="H13" s="10">
        <v>9</v>
      </c>
      <c r="I13" s="10">
        <f>+IF('SG &amp; Density'!$K$5=H13,G13,0)</f>
        <v>0</v>
      </c>
      <c r="J13" s="10">
        <f>+IF('SG &amp; Density'!$I$14=H13,G13,0)</f>
        <v>0</v>
      </c>
      <c r="K13" s="15"/>
    </row>
    <row r="14" spans="2:11" ht="12.75">
      <c r="B14" s="47">
        <v>1.15625</v>
      </c>
      <c r="C14" s="47">
        <v>11.25</v>
      </c>
      <c r="D14" s="53">
        <v>1.25</v>
      </c>
      <c r="E14" s="47">
        <v>12</v>
      </c>
      <c r="F14" s="47" t="s">
        <v>71</v>
      </c>
      <c r="G14" s="47">
        <f t="shared" si="0"/>
        <v>0.072265625</v>
      </c>
      <c r="H14" s="10">
        <v>10</v>
      </c>
      <c r="I14" s="10">
        <f>+IF('SG &amp; Density'!$K$5=H14,G14,0)</f>
        <v>0</v>
      </c>
      <c r="J14" s="10">
        <f>+IF('SG &amp; Density'!$I$14=H14,G14,0)</f>
        <v>0</v>
      </c>
      <c r="K14" s="15"/>
    </row>
    <row r="15" spans="2:11" ht="12.75">
      <c r="B15" s="47">
        <v>1.40625</v>
      </c>
      <c r="C15" s="47">
        <v>3.5</v>
      </c>
      <c r="D15" s="47">
        <v>1.5</v>
      </c>
      <c r="E15" s="47">
        <v>4</v>
      </c>
      <c r="F15" s="47" t="s">
        <v>72</v>
      </c>
      <c r="G15" s="47">
        <f t="shared" si="0"/>
        <v>0.068359375</v>
      </c>
      <c r="H15" s="10">
        <v>11</v>
      </c>
      <c r="I15" s="10">
        <f>+IF('SG &amp; Density'!$K$5=H15,G15,0)</f>
        <v>0</v>
      </c>
      <c r="J15" s="10">
        <f>+IF('SG &amp; Density'!$I$14=H15,G15,0)</f>
        <v>0</v>
      </c>
      <c r="K15" s="15"/>
    </row>
    <row r="16" spans="2:11" ht="12.75">
      <c r="B16" s="47">
        <v>1.40625</v>
      </c>
      <c r="C16" s="47">
        <v>5.5</v>
      </c>
      <c r="D16" s="47">
        <v>1.5</v>
      </c>
      <c r="E16" s="47">
        <v>6</v>
      </c>
      <c r="F16" s="47" t="s">
        <v>73</v>
      </c>
      <c r="G16" s="47">
        <f t="shared" si="0"/>
        <v>0.07161458333333333</v>
      </c>
      <c r="H16" s="10">
        <v>12</v>
      </c>
      <c r="I16" s="10">
        <f>+IF('SG &amp; Density'!$K$5=H16,G16,0)</f>
        <v>0</v>
      </c>
      <c r="J16" s="10">
        <f>+IF('SG &amp; Density'!$I$14=H16,G16,0)</f>
        <v>0</v>
      </c>
      <c r="K16" s="15"/>
    </row>
    <row r="17" spans="2:11" ht="12.75">
      <c r="B17" s="47">
        <v>1.40625</v>
      </c>
      <c r="C17" s="47">
        <v>7.25</v>
      </c>
      <c r="D17" s="47">
        <v>1.5</v>
      </c>
      <c r="E17" s="47">
        <v>8</v>
      </c>
      <c r="F17" s="47" t="s">
        <v>74</v>
      </c>
      <c r="G17" s="47">
        <f t="shared" si="0"/>
        <v>0.07080078125</v>
      </c>
      <c r="H17" s="10">
        <v>13</v>
      </c>
      <c r="I17" s="10">
        <f>+IF('SG &amp; Density'!$K$5=H17,G17,0)</f>
        <v>0</v>
      </c>
      <c r="J17" s="10">
        <f>+IF('SG &amp; Density'!$I$14=H17,G17,0)</f>
        <v>0</v>
      </c>
      <c r="K17" s="15"/>
    </row>
    <row r="18" spans="2:11" ht="12.75">
      <c r="B18" s="47">
        <v>1.40625</v>
      </c>
      <c r="C18" s="47">
        <v>9.25</v>
      </c>
      <c r="D18" s="47">
        <v>1.5</v>
      </c>
      <c r="E18" s="47">
        <v>10</v>
      </c>
      <c r="F18" s="47" t="s">
        <v>75</v>
      </c>
      <c r="G18" s="47">
        <f t="shared" si="0"/>
        <v>0.072265625</v>
      </c>
      <c r="H18" s="10">
        <v>14</v>
      </c>
      <c r="I18" s="10">
        <f>+IF('SG &amp; Density'!$K$5=H18,G18,0)</f>
        <v>0</v>
      </c>
      <c r="J18" s="10">
        <f>+IF('SG &amp; Density'!$I$14=H18,G18,0)</f>
        <v>0</v>
      </c>
      <c r="K18" s="15"/>
    </row>
    <row r="19" spans="2:11" ht="12.75">
      <c r="B19" s="47">
        <v>1.40625</v>
      </c>
      <c r="C19" s="47">
        <v>11.25</v>
      </c>
      <c r="D19" s="47">
        <v>1.5</v>
      </c>
      <c r="E19" s="47">
        <v>12</v>
      </c>
      <c r="F19" s="47" t="s">
        <v>76</v>
      </c>
      <c r="G19" s="47">
        <f t="shared" si="0"/>
        <v>0.0732421875</v>
      </c>
      <c r="H19" s="10">
        <v>15</v>
      </c>
      <c r="I19" s="10">
        <f>+IF('SG &amp; Density'!$K$5=H19,G19,0)</f>
        <v>0</v>
      </c>
      <c r="J19" s="10">
        <f>+IF('SG &amp; Density'!$I$14=H19,G19,0)</f>
        <v>0</v>
      </c>
      <c r="K19" s="15"/>
    </row>
    <row r="20" spans="2:11" ht="12.75">
      <c r="B20" s="47">
        <v>1.59375</v>
      </c>
      <c r="C20" s="47">
        <v>3.5</v>
      </c>
      <c r="D20" s="47">
        <v>1.75</v>
      </c>
      <c r="E20" s="47">
        <v>4</v>
      </c>
      <c r="F20" s="47" t="s">
        <v>77</v>
      </c>
      <c r="G20" s="47">
        <f t="shared" si="0"/>
        <v>0.06640625</v>
      </c>
      <c r="H20" s="10">
        <v>16</v>
      </c>
      <c r="I20" s="10">
        <f>+IF('SG &amp; Density'!$K$5=H20,G20,0)</f>
        <v>0</v>
      </c>
      <c r="J20" s="10">
        <f>+IF('SG &amp; Density'!$I$14=H20,G20,0)</f>
        <v>0</v>
      </c>
      <c r="K20" s="15"/>
    </row>
    <row r="21" spans="2:11" ht="12.75">
      <c r="B21" s="47">
        <v>1.59375</v>
      </c>
      <c r="C21" s="47">
        <v>5.5</v>
      </c>
      <c r="D21" s="47">
        <v>1.75</v>
      </c>
      <c r="E21" s="47">
        <v>6</v>
      </c>
      <c r="F21" s="47" t="s">
        <v>78</v>
      </c>
      <c r="G21" s="47">
        <f t="shared" si="0"/>
        <v>0.06956845238095238</v>
      </c>
      <c r="H21" s="10">
        <v>17</v>
      </c>
      <c r="I21" s="10">
        <f>+IF('SG &amp; Density'!$K$5=H21,G21,0)</f>
        <v>0</v>
      </c>
      <c r="J21" s="10">
        <f>+IF('SG &amp; Density'!$I$14=H21,G21,0)</f>
        <v>0</v>
      </c>
      <c r="K21" s="15"/>
    </row>
    <row r="22" spans="2:11" ht="12.75">
      <c r="B22" s="47">
        <v>1.59375</v>
      </c>
      <c r="C22" s="47">
        <v>7.25</v>
      </c>
      <c r="D22" s="47">
        <v>1.75</v>
      </c>
      <c r="E22" s="47">
        <v>8</v>
      </c>
      <c r="F22" s="47" t="s">
        <v>79</v>
      </c>
      <c r="G22" s="47">
        <f t="shared" si="0"/>
        <v>0.06877790178571429</v>
      </c>
      <c r="H22" s="10">
        <v>18</v>
      </c>
      <c r="I22" s="10">
        <f>+IF('SG &amp; Density'!$K$5=H22,G22,0)</f>
        <v>0</v>
      </c>
      <c r="J22" s="10">
        <f>+IF('SG &amp; Density'!$I$14=H22,G22,0)</f>
        <v>0</v>
      </c>
      <c r="K22" s="15"/>
    </row>
    <row r="23" spans="2:11" ht="12.75">
      <c r="B23" s="47">
        <v>1.59375</v>
      </c>
      <c r="C23" s="47">
        <v>9.25</v>
      </c>
      <c r="D23" s="47">
        <v>1.75</v>
      </c>
      <c r="E23" s="47">
        <v>10</v>
      </c>
      <c r="F23" s="47" t="s">
        <v>80</v>
      </c>
      <c r="G23" s="47">
        <f t="shared" si="0"/>
        <v>0.07020089285714286</v>
      </c>
      <c r="H23" s="10">
        <v>19</v>
      </c>
      <c r="I23" s="10">
        <f>+IF('SG &amp; Density'!$K$5=H23,G23,0)</f>
        <v>0</v>
      </c>
      <c r="J23" s="10">
        <f>+IF('SG &amp; Density'!$I$14=H23,G23,0)</f>
        <v>0</v>
      </c>
      <c r="K23" s="15"/>
    </row>
    <row r="24" spans="2:11" ht="12.75">
      <c r="B24" s="47">
        <v>1.59375</v>
      </c>
      <c r="C24" s="47">
        <v>11.25</v>
      </c>
      <c r="D24" s="47">
        <v>1.75</v>
      </c>
      <c r="E24" s="47">
        <v>12</v>
      </c>
      <c r="F24" s="47" t="s">
        <v>81</v>
      </c>
      <c r="G24" s="47">
        <f t="shared" si="0"/>
        <v>0.07114955357142858</v>
      </c>
      <c r="H24" s="10">
        <v>20</v>
      </c>
      <c r="I24" s="10">
        <f>+IF('SG &amp; Density'!$K$5=H24,G24,0)</f>
        <v>0</v>
      </c>
      <c r="J24" s="10">
        <f>+IF('SG &amp; Density'!$I$14=H24,G24,0)</f>
        <v>0</v>
      </c>
      <c r="K24" s="15"/>
    </row>
    <row r="25" spans="2:11" ht="12.75">
      <c r="B25" s="47">
        <v>1.8125</v>
      </c>
      <c r="C25" s="47">
        <v>3.5</v>
      </c>
      <c r="D25" s="47">
        <v>2</v>
      </c>
      <c r="E25" s="47">
        <v>4</v>
      </c>
      <c r="F25" s="47" t="s">
        <v>82</v>
      </c>
      <c r="G25" s="47">
        <f t="shared" si="0"/>
        <v>0.06608072916666667</v>
      </c>
      <c r="H25" s="10">
        <v>21</v>
      </c>
      <c r="I25" s="10">
        <f>+IF('SG &amp; Density'!$K$5=H25,G25,0)</f>
        <v>0</v>
      </c>
      <c r="J25" s="10">
        <f>+IF('SG &amp; Density'!$I$14=H25,G25,0)</f>
        <v>0</v>
      </c>
      <c r="K25" s="15"/>
    </row>
    <row r="26" spans="2:11" ht="12.75">
      <c r="B26" s="47">
        <v>1.8125</v>
      </c>
      <c r="C26" s="47">
        <v>5.5</v>
      </c>
      <c r="D26" s="47">
        <v>2</v>
      </c>
      <c r="E26" s="47">
        <v>6</v>
      </c>
      <c r="F26" s="47" t="s">
        <v>83</v>
      </c>
      <c r="G26" s="47">
        <f t="shared" si="0"/>
        <v>0.06922743055555555</v>
      </c>
      <c r="H26" s="10">
        <v>22</v>
      </c>
      <c r="I26" s="10">
        <f>+IF('SG &amp; Density'!$K$5=H26,G26,0)</f>
        <v>0</v>
      </c>
      <c r="J26" s="10">
        <f>+IF('SG &amp; Density'!$I$14=H26,G26,0)</f>
        <v>0</v>
      </c>
      <c r="K26" s="15"/>
    </row>
    <row r="27" spans="2:11" ht="12.75">
      <c r="B27" s="47">
        <v>1.8125</v>
      </c>
      <c r="C27" s="47">
        <v>7.25</v>
      </c>
      <c r="D27" s="47">
        <v>2</v>
      </c>
      <c r="E27" s="47">
        <v>8</v>
      </c>
      <c r="F27" s="47" t="s">
        <v>84</v>
      </c>
      <c r="G27" s="47">
        <f t="shared" si="0"/>
        <v>0.06844075520833333</v>
      </c>
      <c r="H27" s="10">
        <v>23</v>
      </c>
      <c r="I27" s="10">
        <f>+IF('SG &amp; Density'!$K$5=H27,G27,0)</f>
        <v>0</v>
      </c>
      <c r="J27" s="10">
        <f>+IF('SG &amp; Density'!$I$14=H27,G27,0)</f>
        <v>0</v>
      </c>
      <c r="K27" s="15"/>
    </row>
    <row r="28" spans="2:11" ht="12.75">
      <c r="B28" s="47">
        <v>1.8125</v>
      </c>
      <c r="C28" s="47">
        <v>9.25</v>
      </c>
      <c r="D28" s="47">
        <v>2</v>
      </c>
      <c r="E28" s="47">
        <v>10</v>
      </c>
      <c r="F28" s="47" t="s">
        <v>85</v>
      </c>
      <c r="G28" s="47">
        <f t="shared" si="0"/>
        <v>0.06985677083333333</v>
      </c>
      <c r="H28" s="10">
        <v>24</v>
      </c>
      <c r="I28" s="10">
        <f>+IF('SG &amp; Density'!$K$5=H28,G28,0)</f>
        <v>0</v>
      </c>
      <c r="J28" s="10">
        <f>+IF('SG &amp; Density'!$I$14=H28,G28,0)</f>
        <v>0</v>
      </c>
      <c r="K28" s="15"/>
    </row>
    <row r="29" spans="2:11" ht="12.75">
      <c r="B29" s="47">
        <v>1.8125</v>
      </c>
      <c r="C29" s="47">
        <v>11.25</v>
      </c>
      <c r="D29" s="47">
        <v>2</v>
      </c>
      <c r="E29" s="47">
        <v>12</v>
      </c>
      <c r="F29" s="47" t="s">
        <v>86</v>
      </c>
      <c r="G29" s="47">
        <f t="shared" si="0"/>
        <v>0.07080078125</v>
      </c>
      <c r="H29" s="10">
        <v>25</v>
      </c>
      <c r="I29" s="10">
        <f>+IF('SG &amp; Density'!$K$5=H29,G29,0)</f>
        <v>0</v>
      </c>
      <c r="J29" s="10">
        <f>+IF('SG &amp; Density'!$I$14=H29,G29,0)</f>
        <v>0</v>
      </c>
      <c r="K29" s="15"/>
    </row>
    <row r="30" spans="2:11" ht="12.75">
      <c r="B30" s="47">
        <v>1.5</v>
      </c>
      <c r="C30" s="47">
        <v>3.5</v>
      </c>
      <c r="D30" s="47">
        <v>2</v>
      </c>
      <c r="E30" s="47">
        <v>4</v>
      </c>
      <c r="F30" s="47" t="s">
        <v>45</v>
      </c>
      <c r="G30" s="47">
        <f t="shared" si="0"/>
        <v>0.0546875</v>
      </c>
      <c r="H30" s="10">
        <v>26</v>
      </c>
      <c r="I30" s="10">
        <f>+IF('SG &amp; Density'!$K$5=H30,G30,0)</f>
        <v>0</v>
      </c>
      <c r="J30" s="10">
        <f>+IF('SG &amp; Density'!$I$14=H30,G30,0)</f>
        <v>0.0546875</v>
      </c>
      <c r="K30" s="15"/>
    </row>
    <row r="31" spans="2:11" ht="12.75">
      <c r="B31" s="47">
        <v>1.5</v>
      </c>
      <c r="C31" s="47">
        <v>5.5</v>
      </c>
      <c r="D31" s="47">
        <v>2</v>
      </c>
      <c r="E31" s="47">
        <v>6</v>
      </c>
      <c r="F31" s="47" t="s">
        <v>46</v>
      </c>
      <c r="G31" s="47">
        <f t="shared" si="0"/>
        <v>0.057291666666666664</v>
      </c>
      <c r="H31" s="10">
        <v>27</v>
      </c>
      <c r="I31" s="10">
        <f>+IF('SG &amp; Density'!$K$5=H31,G31,0)</f>
        <v>0</v>
      </c>
      <c r="J31" s="10">
        <f>+IF('SG &amp; Density'!$I$14=H31,G31,0)</f>
        <v>0</v>
      </c>
      <c r="K31" s="15"/>
    </row>
    <row r="32" spans="2:11" ht="12.75">
      <c r="B32" s="47">
        <v>1.5</v>
      </c>
      <c r="C32" s="47">
        <v>7.25</v>
      </c>
      <c r="D32" s="47">
        <v>2</v>
      </c>
      <c r="E32" s="47">
        <v>8</v>
      </c>
      <c r="F32" s="47" t="s">
        <v>47</v>
      </c>
      <c r="G32" s="47">
        <f t="shared" si="0"/>
        <v>0.056640625</v>
      </c>
      <c r="H32" s="10">
        <v>28</v>
      </c>
      <c r="I32" s="10">
        <f>+IF('SG &amp; Density'!$K$5=H32,G32,0)</f>
        <v>0</v>
      </c>
      <c r="J32" s="10">
        <f>+IF('SG &amp; Density'!$I$14=H32,G32,0)</f>
        <v>0</v>
      </c>
      <c r="K32" s="15"/>
    </row>
    <row r="33" spans="2:11" ht="12.75">
      <c r="B33" s="47">
        <v>1.5</v>
      </c>
      <c r="C33" s="47">
        <v>9.25</v>
      </c>
      <c r="D33" s="47">
        <v>2</v>
      </c>
      <c r="E33" s="47">
        <v>10</v>
      </c>
      <c r="F33" s="47" t="s">
        <v>48</v>
      </c>
      <c r="G33" s="47">
        <f t="shared" si="0"/>
        <v>0.0578125</v>
      </c>
      <c r="H33" s="10">
        <v>29</v>
      </c>
      <c r="I33" s="10">
        <f>+IF('SG &amp; Density'!$K$5=H33,G33,0)</f>
        <v>0</v>
      </c>
      <c r="J33" s="10">
        <f>+IF('SG &amp; Density'!$I$14=H33,G33,0)</f>
        <v>0</v>
      </c>
      <c r="K33" s="15"/>
    </row>
    <row r="34" spans="2:11" ht="12.75">
      <c r="B34" s="47">
        <v>1.5</v>
      </c>
      <c r="C34" s="47">
        <v>11.25</v>
      </c>
      <c r="D34" s="47">
        <v>2</v>
      </c>
      <c r="E34" s="47">
        <v>12</v>
      </c>
      <c r="F34" s="47" t="s">
        <v>49</v>
      </c>
      <c r="G34" s="47">
        <f t="shared" si="0"/>
        <v>0.05859375</v>
      </c>
      <c r="H34" s="10">
        <v>30</v>
      </c>
      <c r="I34" s="10">
        <f>+IF('SG &amp; Density'!$K$5=H34,G34,0)</f>
        <v>0</v>
      </c>
      <c r="J34" s="10">
        <f>+IF('SG &amp; Density'!$I$14=H34,G34,0)</f>
        <v>0</v>
      </c>
      <c r="K34" s="15"/>
    </row>
    <row r="35" spans="2:11" ht="12.75">
      <c r="B35" s="47">
        <v>3.5</v>
      </c>
      <c r="C35" s="47">
        <v>3.5</v>
      </c>
      <c r="D35" s="47">
        <v>4</v>
      </c>
      <c r="E35" s="47">
        <v>4</v>
      </c>
      <c r="F35" s="47" t="s">
        <v>50</v>
      </c>
      <c r="G35" s="47">
        <f t="shared" si="0"/>
        <v>0.06380208333333333</v>
      </c>
      <c r="H35" s="10">
        <v>31</v>
      </c>
      <c r="I35" s="10">
        <f>+IF('SG &amp; Density'!$K$5=H35,G35,0)</f>
        <v>0</v>
      </c>
      <c r="J35" s="10">
        <f>+IF('SG &amp; Density'!$I$14=H35,G35,0)</f>
        <v>0</v>
      </c>
      <c r="K35" s="15"/>
    </row>
    <row r="36" spans="2:11" ht="12.75">
      <c r="B36" s="47">
        <v>3.5</v>
      </c>
      <c r="C36" s="47">
        <v>5.5</v>
      </c>
      <c r="D36" s="47">
        <v>4</v>
      </c>
      <c r="E36" s="47">
        <v>6</v>
      </c>
      <c r="F36" s="47" t="s">
        <v>51</v>
      </c>
      <c r="G36" s="47">
        <f t="shared" si="0"/>
        <v>0.06684027777777778</v>
      </c>
      <c r="H36" s="10">
        <v>32</v>
      </c>
      <c r="I36" s="10">
        <f>+IF('SG &amp; Density'!$K$5=H36,G36,0)</f>
        <v>0</v>
      </c>
      <c r="J36" s="10">
        <f>+IF('SG &amp; Density'!$I$14=H36,G36,0)</f>
        <v>0</v>
      </c>
      <c r="K36" s="15"/>
    </row>
    <row r="37" spans="2:11" ht="12.75">
      <c r="B37" s="47">
        <v>3.5</v>
      </c>
      <c r="C37" s="47">
        <v>7.25</v>
      </c>
      <c r="D37" s="47">
        <v>4</v>
      </c>
      <c r="E37" s="47">
        <v>8</v>
      </c>
      <c r="F37" s="47" t="s">
        <v>53</v>
      </c>
      <c r="G37" s="47">
        <f t="shared" si="0"/>
        <v>0.06608072916666667</v>
      </c>
      <c r="H37" s="10">
        <v>33</v>
      </c>
      <c r="I37" s="10">
        <f>+IF('SG &amp; Density'!$K$5=H37,G37,0)</f>
        <v>0</v>
      </c>
      <c r="J37" s="10">
        <f>+IF('SG &amp; Density'!$I$14=H37,G37,0)</f>
        <v>0</v>
      </c>
      <c r="K37" s="15"/>
    </row>
    <row r="38" spans="2:11" ht="12.75">
      <c r="B38" s="47">
        <v>3.5</v>
      </c>
      <c r="C38" s="47">
        <v>9.25</v>
      </c>
      <c r="D38" s="47">
        <v>4</v>
      </c>
      <c r="E38" s="47">
        <v>10</v>
      </c>
      <c r="F38" s="47" t="s">
        <v>54</v>
      </c>
      <c r="G38" s="47">
        <f t="shared" si="0"/>
        <v>0.06744791666666666</v>
      </c>
      <c r="H38" s="10">
        <v>34</v>
      </c>
      <c r="I38" s="10">
        <f>+IF('SG &amp; Density'!$K$5=H38,G38,0)</f>
        <v>0</v>
      </c>
      <c r="J38" s="10">
        <f>+IF('SG &amp; Density'!$I$14=H38,G38,0)</f>
        <v>0</v>
      </c>
      <c r="K38" s="15"/>
    </row>
    <row r="39" spans="2:11" ht="12.75">
      <c r="B39" s="47">
        <v>3.5</v>
      </c>
      <c r="C39" s="47">
        <v>11.25</v>
      </c>
      <c r="D39" s="47">
        <v>4</v>
      </c>
      <c r="E39" s="47">
        <v>12</v>
      </c>
      <c r="F39" s="47" t="s">
        <v>55</v>
      </c>
      <c r="G39" s="47">
        <f t="shared" si="0"/>
        <v>0.068359375</v>
      </c>
      <c r="H39" s="10">
        <v>35</v>
      </c>
      <c r="I39" s="10">
        <f>+IF('SG &amp; Density'!$K$5=H39,G39,0)</f>
        <v>0</v>
      </c>
      <c r="J39" s="10">
        <f>+IF('SG &amp; Density'!$I$14=H39,G39,0)</f>
        <v>0</v>
      </c>
      <c r="K39" s="15"/>
    </row>
    <row r="40" spans="8:10" ht="12.75">
      <c r="H40" s="10"/>
      <c r="I40" s="10"/>
      <c r="J40" s="10"/>
    </row>
    <row r="41" spans="8:10" ht="12.75">
      <c r="H41" s="10"/>
      <c r="I41" s="10">
        <f>SUM(I5:I39)</f>
        <v>0.057291666666666664</v>
      </c>
      <c r="J41" s="10">
        <f>SUM(J5:J39)</f>
        <v>0.0546875</v>
      </c>
    </row>
  </sheetData>
  <sheetProtection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1"/>
  <dimension ref="A1:AE182"/>
  <sheetViews>
    <sheetView showGridLines="0" workbookViewId="0" topLeftCell="A62">
      <selection activeCell="B94" sqref="B94"/>
    </sheetView>
  </sheetViews>
  <sheetFormatPr defaultColWidth="9.140625" defaultRowHeight="12.75"/>
  <cols>
    <col min="1" max="1" width="4.421875" style="0" customWidth="1"/>
    <col min="2" max="2" width="18.140625" style="0" bestFit="1" customWidth="1"/>
    <col min="13" max="13" width="7.7109375" style="0" customWidth="1"/>
  </cols>
  <sheetData>
    <row r="1" spans="1:26" ht="12.75">
      <c r="A1" s="80" t="s">
        <v>354</v>
      </c>
      <c r="L1" s="285"/>
      <c r="M1" s="10"/>
      <c r="N1" s="10"/>
      <c r="O1" s="10"/>
      <c r="P1" s="10"/>
      <c r="Q1" s="10"/>
      <c r="R1" s="10"/>
      <c r="S1" s="10"/>
      <c r="T1" s="10"/>
      <c r="U1" s="10"/>
      <c r="V1" s="10"/>
      <c r="W1" s="10"/>
      <c r="X1" s="10"/>
      <c r="Y1" s="10"/>
      <c r="Z1" s="10"/>
    </row>
    <row r="2" spans="1:26" ht="12.75">
      <c r="A2" s="80" t="s">
        <v>355</v>
      </c>
      <c r="L2" s="285"/>
      <c r="M2" s="10"/>
      <c r="N2" s="10"/>
      <c r="O2" s="10"/>
      <c r="P2" s="10"/>
      <c r="Q2" s="10"/>
      <c r="R2" s="10"/>
      <c r="S2" s="10"/>
      <c r="T2" s="10"/>
      <c r="U2" s="10"/>
      <c r="V2" s="10"/>
      <c r="W2" s="10"/>
      <c r="X2" s="10"/>
      <c r="Y2" s="10"/>
      <c r="Z2" s="10"/>
    </row>
    <row r="3" spans="1:26" ht="12.75">
      <c r="A3" s="73" t="s">
        <v>197</v>
      </c>
      <c r="L3" s="10"/>
      <c r="M3" s="10"/>
      <c r="N3" s="10"/>
      <c r="O3" s="10"/>
      <c r="P3" s="10"/>
      <c r="Q3" s="10"/>
      <c r="R3" s="10"/>
      <c r="S3" s="10"/>
      <c r="T3" s="10"/>
      <c r="U3" s="10"/>
      <c r="V3" s="10"/>
      <c r="W3" s="10"/>
      <c r="X3" s="10"/>
      <c r="Y3" s="10"/>
      <c r="Z3" s="10"/>
    </row>
    <row r="4" spans="1:26" ht="12.75">
      <c r="A4" s="73" t="s">
        <v>346</v>
      </c>
      <c r="L4" s="10"/>
      <c r="M4" s="10"/>
      <c r="N4" s="10"/>
      <c r="O4" s="10"/>
      <c r="P4" s="10"/>
      <c r="Q4" s="10"/>
      <c r="R4" s="10"/>
      <c r="S4" s="10"/>
      <c r="T4" s="10"/>
      <c r="U4" s="10"/>
      <c r="V4" s="10"/>
      <c r="W4" s="10"/>
      <c r="X4" s="10"/>
      <c r="Y4" s="10"/>
      <c r="Z4" s="10"/>
    </row>
    <row r="5" spans="1:26" ht="13.5" thickBot="1">
      <c r="A5" s="73" t="s">
        <v>383</v>
      </c>
      <c r="L5" s="78">
        <f>'Dimensional Change'!G4</f>
        <v>19</v>
      </c>
      <c r="M5" s="10" t="s">
        <v>243</v>
      </c>
      <c r="N5" s="10"/>
      <c r="O5" s="10"/>
      <c r="P5" s="10"/>
      <c r="Q5" s="10"/>
      <c r="R5" s="10"/>
      <c r="S5" s="10"/>
      <c r="T5" s="10"/>
      <c r="U5" s="10"/>
      <c r="V5" s="10"/>
      <c r="W5" s="10"/>
      <c r="X5" s="10"/>
      <c r="Y5" s="10"/>
      <c r="Z5" s="10"/>
    </row>
    <row r="6" spans="1:31" ht="12.75">
      <c r="A6" s="12"/>
      <c r="B6" s="246"/>
      <c r="C6" s="247" t="s">
        <v>95</v>
      </c>
      <c r="D6" s="248"/>
      <c r="E6" s="249" t="s">
        <v>93</v>
      </c>
      <c r="F6" s="249"/>
      <c r="G6" s="294" t="s">
        <v>10</v>
      </c>
      <c r="H6" s="402" t="s">
        <v>40</v>
      </c>
      <c r="I6" s="403"/>
      <c r="J6" s="286"/>
      <c r="K6" s="296"/>
      <c r="L6" s="78">
        <f>'Dimensional Change'!K4</f>
        <v>8.43540200862517</v>
      </c>
      <c r="M6" s="10" t="s">
        <v>244</v>
      </c>
      <c r="N6" s="10"/>
      <c r="O6" s="10"/>
      <c r="P6" s="10"/>
      <c r="Q6" s="10"/>
      <c r="R6" s="10"/>
      <c r="S6" s="10"/>
      <c r="T6" s="10"/>
      <c r="U6" s="10"/>
      <c r="V6" s="10"/>
      <c r="W6" s="10"/>
      <c r="X6" s="10"/>
      <c r="Y6" s="10"/>
      <c r="Z6" s="10"/>
      <c r="AA6" s="306"/>
      <c r="AB6" s="306"/>
      <c r="AC6" s="306"/>
      <c r="AD6" s="306"/>
      <c r="AE6" s="306"/>
    </row>
    <row r="7" spans="1:31" ht="12.75">
      <c r="A7" s="12"/>
      <c r="B7" s="250"/>
      <c r="C7" s="251" t="s">
        <v>96</v>
      </c>
      <c r="D7" s="252"/>
      <c r="E7" s="253" t="s">
        <v>94</v>
      </c>
      <c r="F7" s="253"/>
      <c r="G7" s="90" t="s">
        <v>9</v>
      </c>
      <c r="H7" s="404" t="s">
        <v>41</v>
      </c>
      <c r="I7" s="405"/>
      <c r="J7" s="287"/>
      <c r="K7" s="297"/>
      <c r="L7" s="10" t="b">
        <f>+IF(AND(L5&lt;=14,L5&gt;=6,L6&lt;=14,L6&gt;=6),TRUE,FALSE)</f>
        <v>0</v>
      </c>
      <c r="M7" s="10"/>
      <c r="N7" s="10"/>
      <c r="O7" s="10"/>
      <c r="P7" s="10"/>
      <c r="Q7" s="10"/>
      <c r="R7" s="10"/>
      <c r="S7" s="10"/>
      <c r="T7" s="10"/>
      <c r="U7" s="10"/>
      <c r="V7" s="10"/>
      <c r="W7" s="10"/>
      <c r="X7" s="10"/>
      <c r="Y7" s="10"/>
      <c r="Z7" s="10"/>
      <c r="AA7" s="306"/>
      <c r="AB7" s="306"/>
      <c r="AC7" s="306"/>
      <c r="AD7" s="306"/>
      <c r="AE7" s="306"/>
    </row>
    <row r="8" spans="1:31" ht="13.5" thickBot="1">
      <c r="A8" s="12"/>
      <c r="B8" s="254" t="s">
        <v>37</v>
      </c>
      <c r="C8" s="100" t="s">
        <v>92</v>
      </c>
      <c r="D8" s="100" t="s">
        <v>91</v>
      </c>
      <c r="E8" s="100" t="s">
        <v>92</v>
      </c>
      <c r="F8" s="100" t="s">
        <v>91</v>
      </c>
      <c r="G8" s="283" t="s">
        <v>11</v>
      </c>
      <c r="H8" s="299" t="s">
        <v>43</v>
      </c>
      <c r="I8" s="300" t="s">
        <v>42</v>
      </c>
      <c r="J8" s="288" t="s">
        <v>341</v>
      </c>
      <c r="K8" s="298" t="s">
        <v>342</v>
      </c>
      <c r="L8" s="10" t="s">
        <v>92</v>
      </c>
      <c r="M8" s="10" t="s">
        <v>91</v>
      </c>
      <c r="N8" s="10"/>
      <c r="O8" s="10"/>
      <c r="P8" s="10"/>
      <c r="Q8" s="10"/>
      <c r="R8" s="10" t="s">
        <v>343</v>
      </c>
      <c r="S8" s="10" t="s">
        <v>344</v>
      </c>
      <c r="T8" s="10" t="s">
        <v>345</v>
      </c>
      <c r="U8" s="10" t="s">
        <v>345</v>
      </c>
      <c r="V8" s="10" t="s">
        <v>343</v>
      </c>
      <c r="W8" s="10" t="s">
        <v>344</v>
      </c>
      <c r="X8" s="10" t="s">
        <v>345</v>
      </c>
      <c r="Y8" s="10" t="s">
        <v>345</v>
      </c>
      <c r="Z8" s="10"/>
      <c r="AA8" s="306"/>
      <c r="AB8" s="306"/>
      <c r="AC8" s="306"/>
      <c r="AD8" s="306"/>
      <c r="AE8" s="306"/>
    </row>
    <row r="9" spans="1:31" ht="12.75">
      <c r="A9" s="255">
        <v>1</v>
      </c>
      <c r="B9" s="256" t="s">
        <v>13</v>
      </c>
      <c r="C9" s="257">
        <v>4.4</v>
      </c>
      <c r="D9" s="257">
        <v>7.3</v>
      </c>
      <c r="E9" s="257">
        <v>0.00151</v>
      </c>
      <c r="F9" s="274">
        <v>0.00256</v>
      </c>
      <c r="G9" s="262">
        <v>12.6</v>
      </c>
      <c r="H9" s="257" t="s">
        <v>38</v>
      </c>
      <c r="I9" s="301">
        <v>97</v>
      </c>
      <c r="J9" s="289">
        <v>0.37</v>
      </c>
      <c r="K9" s="263">
        <v>0.41</v>
      </c>
      <c r="L9" s="245">
        <f>+IF('Dimensional Change'!$A$1=A9,IF($L$7=TRUE,E9,C9),0)</f>
        <v>0</v>
      </c>
      <c r="M9" s="245">
        <f>+IF('Dimensional Change'!$A$1=A9,IF($L$7=TRUE,F9,D9),0)</f>
        <v>0</v>
      </c>
      <c r="N9" s="245">
        <f>+IF('Dimensional Change'!$A$2=A9,IF($L$7=TRUE,E9,C9),0)</f>
        <v>0</v>
      </c>
      <c r="O9" s="245">
        <f>+IF('Dimensional Change'!$A$2=A9,IF($L$7=TRUE,F9,D9),0)</f>
        <v>0</v>
      </c>
      <c r="P9" s="245">
        <f>+IF('Dimensional Change'!$A$3=A9,IF($L$7=TRUE,E9,C9),0)</f>
        <v>0</v>
      </c>
      <c r="Q9" s="245">
        <f>+IF('Dimensional Change'!$A$3=A9,IF($L$7=TRUE,F9,D9),0)</f>
        <v>0</v>
      </c>
      <c r="R9" s="245">
        <f>+IF('SG &amp; Density'!$B$9=A9,J9,0)</f>
        <v>0</v>
      </c>
      <c r="S9" s="245">
        <f>+IF('SG &amp; Density'!$B$18=A9,K9,0)</f>
        <v>0</v>
      </c>
      <c r="T9" s="245">
        <f>+IF('SG &amp; Density'!$B$9=A9,G9,0)</f>
        <v>0</v>
      </c>
      <c r="U9" s="245">
        <f>+IF('SG &amp; Density'!$B$18=A9,G9,0)</f>
        <v>0</v>
      </c>
      <c r="V9" s="245">
        <f>+IF('SG &amp; Density'!$B$10=A9,J9,0)</f>
        <v>0</v>
      </c>
      <c r="W9" s="245">
        <f>+IF('SG &amp; Density'!$B$19=A9,K9,0)</f>
        <v>0</v>
      </c>
      <c r="X9" s="245">
        <f>+IF('SG &amp; Density'!$B$10=A9,G9,0)</f>
        <v>0</v>
      </c>
      <c r="Y9" s="245">
        <f>+IF('SG &amp; Density'!$B$19=A9,G9,0)</f>
        <v>0</v>
      </c>
      <c r="Z9" s="10"/>
      <c r="AA9" s="306"/>
      <c r="AB9" s="306"/>
      <c r="AC9" s="306"/>
      <c r="AD9" s="306"/>
      <c r="AE9" s="306"/>
    </row>
    <row r="10" spans="1:31" ht="12.75">
      <c r="A10" s="255">
        <f>+A9+1</f>
        <v>2</v>
      </c>
      <c r="B10" s="258" t="s">
        <v>97</v>
      </c>
      <c r="C10" s="259">
        <v>5</v>
      </c>
      <c r="D10" s="259">
        <v>7.8</v>
      </c>
      <c r="E10" s="259">
        <v>0.00172</v>
      </c>
      <c r="F10" s="273">
        <v>0.00274</v>
      </c>
      <c r="G10" s="259">
        <v>15.2</v>
      </c>
      <c r="H10" s="259">
        <v>95</v>
      </c>
      <c r="I10" s="302" t="s">
        <v>38</v>
      </c>
      <c r="J10" s="290">
        <v>0.45</v>
      </c>
      <c r="K10" s="260">
        <v>0.49</v>
      </c>
      <c r="L10" s="245">
        <f>+IF('Dimensional Change'!$A$1=A10,IF($L$7=TRUE,E10,C10),0)</f>
        <v>0</v>
      </c>
      <c r="M10" s="245">
        <f>+IF('Dimensional Change'!$A$1=A10,IF($L$7=TRUE,F10,D10),0)</f>
        <v>0</v>
      </c>
      <c r="N10" s="245">
        <f>+IF('Dimensional Change'!$A$2=A10,IF($L$7=TRUE,E10,C10),0)</f>
        <v>0</v>
      </c>
      <c r="O10" s="245">
        <f>+IF('Dimensional Change'!$A$2=A10,IF($L$7=TRUE,F10,D10),0)</f>
        <v>0</v>
      </c>
      <c r="P10" s="245">
        <f>+IF('Dimensional Change'!$A$3=A10,IF($L$7=TRUE,E10,C10),0)</f>
        <v>0</v>
      </c>
      <c r="Q10" s="245">
        <f>+IF('Dimensional Change'!$A$3=A10,IF($L$7=TRUE,F10,D10),0)</f>
        <v>0</v>
      </c>
      <c r="R10" s="245">
        <f>+IF('SG &amp; Density'!$B$9=A10,J10,0)</f>
        <v>0</v>
      </c>
      <c r="S10" s="245">
        <f>+IF('SG &amp; Density'!$B$18=A10,K10,0)</f>
        <v>0</v>
      </c>
      <c r="T10" s="245">
        <f>+IF('SG &amp; Density'!$B$9=A10,G10,0)</f>
        <v>0</v>
      </c>
      <c r="U10" s="245">
        <f>+IF('SG &amp; Density'!$B$18=A10,G10,0)</f>
        <v>0</v>
      </c>
      <c r="V10" s="245">
        <f>+IF('SG &amp; Density'!$B$10=A10,J10,0)</f>
        <v>0</v>
      </c>
      <c r="W10" s="245">
        <f>+IF('SG &amp; Density'!$B$19=A10,K10,0)</f>
        <v>0</v>
      </c>
      <c r="X10" s="245">
        <f>+IF('SG &amp; Density'!$B$10=A10,G10,0)</f>
        <v>0</v>
      </c>
      <c r="Y10" s="245">
        <f>+IF('SG &amp; Density'!$B$19=A10,G10,0)</f>
        <v>0</v>
      </c>
      <c r="Z10" s="10"/>
      <c r="AA10" s="306"/>
      <c r="AB10" s="306"/>
      <c r="AC10" s="306"/>
      <c r="AD10" s="306"/>
      <c r="AE10" s="306"/>
    </row>
    <row r="11" spans="1:31" ht="12.75">
      <c r="A11" s="255">
        <f aca="true" t="shared" si="0" ref="A11:A74">+A10+1</f>
        <v>3</v>
      </c>
      <c r="B11" s="258" t="s">
        <v>98</v>
      </c>
      <c r="C11" s="259">
        <v>4.6</v>
      </c>
      <c r="D11" s="259">
        <v>7.1</v>
      </c>
      <c r="E11" s="259">
        <v>0.00169</v>
      </c>
      <c r="F11" s="273">
        <v>0.00274</v>
      </c>
      <c r="G11" s="259">
        <v>12.5</v>
      </c>
      <c r="H11" s="259" t="s">
        <v>38</v>
      </c>
      <c r="I11" s="302">
        <v>58</v>
      </c>
      <c r="J11" s="290">
        <v>0.53</v>
      </c>
      <c r="K11" s="260">
        <v>0.56</v>
      </c>
      <c r="L11" s="245">
        <f>+IF('Dimensional Change'!$A$1=A11,IF($L$7=TRUE,E11,C11),0)</f>
        <v>0</v>
      </c>
      <c r="M11" s="245">
        <f>+IF('Dimensional Change'!$A$1=A11,IF($L$7=TRUE,F11,D11),0)</f>
        <v>0</v>
      </c>
      <c r="N11" s="245">
        <f>+IF('Dimensional Change'!$A$2=A11,IF($L$7=TRUE,E11,C11),0)</f>
        <v>0</v>
      </c>
      <c r="O11" s="245">
        <f>+IF('Dimensional Change'!$A$2=A11,IF($L$7=TRUE,F11,D11),0)</f>
        <v>0</v>
      </c>
      <c r="P11" s="245">
        <f>+IF('Dimensional Change'!$A$3=A11,IF($L$7=TRUE,E11,C11),0)</f>
        <v>0</v>
      </c>
      <c r="Q11" s="245">
        <f>+IF('Dimensional Change'!$A$3=A11,IF($L$7=TRUE,F11,D11),0)</f>
        <v>0</v>
      </c>
      <c r="R11" s="245">
        <f>+IF('SG &amp; Density'!$B$9=A11,J11,0)</f>
        <v>0</v>
      </c>
      <c r="S11" s="245">
        <f>+IF('SG &amp; Density'!$B$18=A11,K11,0)</f>
        <v>0</v>
      </c>
      <c r="T11" s="245">
        <f>+IF('SG &amp; Density'!$B$9=A11,G11,0)</f>
        <v>0</v>
      </c>
      <c r="U11" s="245">
        <f>+IF('SG &amp; Density'!$B$18=A11,G11,0)</f>
        <v>0</v>
      </c>
      <c r="V11" s="245">
        <f>+IF('SG &amp; Density'!$B$10=A11,J11,0)</f>
        <v>0</v>
      </c>
      <c r="W11" s="245">
        <f>+IF('SG &amp; Density'!$B$19=A11,K11,0)</f>
        <v>0</v>
      </c>
      <c r="X11" s="245">
        <f>+IF('SG &amp; Density'!$B$10=A11,G11,0)</f>
        <v>0</v>
      </c>
      <c r="Y11" s="245">
        <f>+IF('SG &amp; Density'!$B$19=A11,G11,0)</f>
        <v>0</v>
      </c>
      <c r="Z11" s="10"/>
      <c r="AA11" s="306"/>
      <c r="AB11" s="306"/>
      <c r="AC11" s="306"/>
      <c r="AD11" s="306"/>
      <c r="AE11" s="306"/>
    </row>
    <row r="12" spans="1:31" ht="12.75">
      <c r="A12" s="255">
        <f t="shared" si="0"/>
        <v>4</v>
      </c>
      <c r="B12" s="258" t="s">
        <v>99</v>
      </c>
      <c r="C12" s="259">
        <v>4.1</v>
      </c>
      <c r="D12" s="259">
        <v>8.1</v>
      </c>
      <c r="E12" s="259">
        <v>0.00141</v>
      </c>
      <c r="F12" s="273">
        <v>0.00285</v>
      </c>
      <c r="G12" s="259">
        <v>13.2</v>
      </c>
      <c r="H12" s="259" t="s">
        <v>38</v>
      </c>
      <c r="I12" s="302" t="s">
        <v>38</v>
      </c>
      <c r="J12" s="290">
        <v>0.5</v>
      </c>
      <c r="K12" s="260">
        <v>0.55</v>
      </c>
      <c r="L12" s="245">
        <f>+IF('Dimensional Change'!$A$1=A12,IF($L$7=TRUE,E12,C12),0)</f>
        <v>0</v>
      </c>
      <c r="M12" s="245">
        <f>+IF('Dimensional Change'!$A$1=A12,IF($L$7=TRUE,F12,D12),0)</f>
        <v>0</v>
      </c>
      <c r="N12" s="245">
        <f>+IF('Dimensional Change'!$A$2=A12,IF($L$7=TRUE,E12,C12),0)</f>
        <v>0</v>
      </c>
      <c r="O12" s="245">
        <f>+IF('Dimensional Change'!$A$2=A12,IF($L$7=TRUE,F12,D12),0)</f>
        <v>0</v>
      </c>
      <c r="P12" s="245">
        <f>+IF('Dimensional Change'!$A$3=A12,IF($L$7=TRUE,E12,C12),0)</f>
        <v>0</v>
      </c>
      <c r="Q12" s="245">
        <f>+IF('Dimensional Change'!$A$3=A12,IF($L$7=TRUE,F12,D12),0)</f>
        <v>0</v>
      </c>
      <c r="R12" s="245">
        <f>+IF('SG &amp; Density'!$B$9=A12,J12,0)</f>
        <v>0</v>
      </c>
      <c r="S12" s="245">
        <f>+IF('SG &amp; Density'!$B$18=A12,K12,0)</f>
        <v>0</v>
      </c>
      <c r="T12" s="245">
        <f>+IF('SG &amp; Density'!$B$9=A12,G12,0)</f>
        <v>0</v>
      </c>
      <c r="U12" s="245">
        <f>+IF('SG &amp; Density'!$B$18=A12,G12,0)</f>
        <v>0</v>
      </c>
      <c r="V12" s="245">
        <f>+IF('SG &amp; Density'!$B$10=A12,J12,0)</f>
        <v>0</v>
      </c>
      <c r="W12" s="245">
        <f>+IF('SG &amp; Density'!$B$19=A12,K12,0)</f>
        <v>0</v>
      </c>
      <c r="X12" s="245">
        <f>+IF('SG &amp; Density'!$B$10=A12,G12,0)</f>
        <v>0</v>
      </c>
      <c r="Y12" s="245">
        <f>+IF('SG &amp; Density'!$B$19=A12,G12,0)</f>
        <v>0</v>
      </c>
      <c r="Z12" s="10"/>
      <c r="AA12" s="306"/>
      <c r="AB12" s="306"/>
      <c r="AC12" s="306"/>
      <c r="AD12" s="306"/>
      <c r="AE12" s="306"/>
    </row>
    <row r="13" spans="1:31" ht="12.75">
      <c r="A13" s="255">
        <f t="shared" si="0"/>
        <v>5</v>
      </c>
      <c r="B13" s="258" t="s">
        <v>100</v>
      </c>
      <c r="C13" s="259">
        <v>3.7</v>
      </c>
      <c r="D13" s="259">
        <v>6.3</v>
      </c>
      <c r="E13" s="259">
        <v>0.00126</v>
      </c>
      <c r="F13" s="273">
        <v>0.00219</v>
      </c>
      <c r="G13" s="259">
        <v>12</v>
      </c>
      <c r="H13" s="259" t="s">
        <v>38</v>
      </c>
      <c r="I13" s="302" t="s">
        <v>38</v>
      </c>
      <c r="J13" s="290">
        <v>0.48</v>
      </c>
      <c r="K13" s="260">
        <v>0.52</v>
      </c>
      <c r="L13" s="245">
        <f>+IF('Dimensional Change'!$A$1=A13,IF($L$7=TRUE,E13,C13),0)</f>
        <v>0</v>
      </c>
      <c r="M13" s="245">
        <f>+IF('Dimensional Change'!$A$1=A13,IF($L$7=TRUE,F13,D13),0)</f>
        <v>0</v>
      </c>
      <c r="N13" s="245">
        <f>+IF('Dimensional Change'!$A$2=A13,IF($L$7=TRUE,E13,C13),0)</f>
        <v>0</v>
      </c>
      <c r="O13" s="245">
        <f>+IF('Dimensional Change'!$A$2=A13,IF($L$7=TRUE,F13,D13),0)</f>
        <v>0</v>
      </c>
      <c r="P13" s="245">
        <f>+IF('Dimensional Change'!$A$3=A13,IF($L$7=TRUE,E13,C13),0)</f>
        <v>0</v>
      </c>
      <c r="Q13" s="245">
        <f>+IF('Dimensional Change'!$A$3=A13,IF($L$7=TRUE,F13,D13),0)</f>
        <v>0</v>
      </c>
      <c r="R13" s="245">
        <f>+IF('SG &amp; Density'!$B$9=A13,J13,0)</f>
        <v>0</v>
      </c>
      <c r="S13" s="245">
        <f>+IF('SG &amp; Density'!$B$18=A13,K13,0)</f>
        <v>0</v>
      </c>
      <c r="T13" s="245">
        <f>+IF('SG &amp; Density'!$B$9=A13,G13,0)</f>
        <v>0</v>
      </c>
      <c r="U13" s="245">
        <f>+IF('SG &amp; Density'!$B$18=A13,G13,0)</f>
        <v>0</v>
      </c>
      <c r="V13" s="245">
        <f>+IF('SG &amp; Density'!$B$10=A13,J13,0)</f>
        <v>0</v>
      </c>
      <c r="W13" s="245">
        <f>+IF('SG &amp; Density'!$B$19=A13,K13,0)</f>
        <v>0</v>
      </c>
      <c r="X13" s="245">
        <f>+IF('SG &amp; Density'!$B$10=A13,G13,0)</f>
        <v>0</v>
      </c>
      <c r="Y13" s="245">
        <f>+IF('SG &amp; Density'!$B$19=A13,G13,0)</f>
        <v>0</v>
      </c>
      <c r="Z13" s="10"/>
      <c r="AA13" s="306"/>
      <c r="AB13" s="306"/>
      <c r="AC13" s="306"/>
      <c r="AD13" s="306"/>
      <c r="AE13" s="306"/>
    </row>
    <row r="14" spans="1:31" ht="12.75">
      <c r="A14" s="255">
        <f t="shared" si="0"/>
        <v>6</v>
      </c>
      <c r="B14" s="258" t="s">
        <v>101</v>
      </c>
      <c r="C14" s="259">
        <v>4.9</v>
      </c>
      <c r="D14" s="259">
        <v>7.8</v>
      </c>
      <c r="E14" s="259">
        <v>0.00169</v>
      </c>
      <c r="F14" s="273">
        <v>0.00274</v>
      </c>
      <c r="G14" s="259">
        <v>13.3</v>
      </c>
      <c r="H14" s="259">
        <v>46</v>
      </c>
      <c r="I14" s="302">
        <v>44</v>
      </c>
      <c r="J14" s="290">
        <v>0.55</v>
      </c>
      <c r="K14" s="260">
        <v>0.6</v>
      </c>
      <c r="L14" s="245">
        <f>+IF('Dimensional Change'!$A$1=A14,IF($L$7=TRUE,E14,C14),0)</f>
        <v>0</v>
      </c>
      <c r="M14" s="245">
        <f>+IF('Dimensional Change'!$A$1=A14,IF($L$7=TRUE,F14,D14),0)</f>
        <v>0</v>
      </c>
      <c r="N14" s="245">
        <f>+IF('Dimensional Change'!$A$2=A14,IF($L$7=TRUE,E14,C14),0)</f>
        <v>0</v>
      </c>
      <c r="O14" s="245">
        <f>+IF('Dimensional Change'!$A$2=A14,IF($L$7=TRUE,F14,D14),0)</f>
        <v>0</v>
      </c>
      <c r="P14" s="245">
        <f>+IF('Dimensional Change'!$A$3=A14,IF($L$7=TRUE,E14,C14),0)</f>
        <v>0</v>
      </c>
      <c r="Q14" s="245">
        <f>+IF('Dimensional Change'!$A$3=A14,IF($L$7=TRUE,F14,D14),0)</f>
        <v>0</v>
      </c>
      <c r="R14" s="245">
        <f>+IF('SG &amp; Density'!$B$9=A14,J14,0)</f>
        <v>0</v>
      </c>
      <c r="S14" s="245">
        <f>+IF('SG &amp; Density'!$B$18=A14,K14,0)</f>
        <v>0</v>
      </c>
      <c r="T14" s="245">
        <f>+IF('SG &amp; Density'!$B$9=A14,G14,0)</f>
        <v>0</v>
      </c>
      <c r="U14" s="245">
        <f>+IF('SG &amp; Density'!$B$18=A14,G14,0)</f>
        <v>0</v>
      </c>
      <c r="V14" s="245">
        <f>+IF('SG &amp; Density'!$B$10=A14,J14,0)</f>
        <v>0</v>
      </c>
      <c r="W14" s="245">
        <f>+IF('SG &amp; Density'!$B$19=A14,K14,0)</f>
        <v>0</v>
      </c>
      <c r="X14" s="245">
        <f>+IF('SG &amp; Density'!$B$10=A14,G14,0)</f>
        <v>0</v>
      </c>
      <c r="Y14" s="245">
        <f>+IF('SG &amp; Density'!$B$19=A14,G14,0)</f>
        <v>0</v>
      </c>
      <c r="Z14" s="10"/>
      <c r="AA14" s="306"/>
      <c r="AB14" s="306"/>
      <c r="AC14" s="306"/>
      <c r="AD14" s="306"/>
      <c r="AE14" s="306"/>
    </row>
    <row r="15" spans="1:31" ht="12.75">
      <c r="A15" s="255">
        <f t="shared" si="0"/>
        <v>7</v>
      </c>
      <c r="B15" s="258" t="s">
        <v>174</v>
      </c>
      <c r="C15" s="259">
        <v>3.5</v>
      </c>
      <c r="D15" s="259">
        <v>6.7</v>
      </c>
      <c r="E15" s="259">
        <v>0.00119</v>
      </c>
      <c r="F15" s="273">
        <v>0.00234</v>
      </c>
      <c r="G15" s="259">
        <v>11.5</v>
      </c>
      <c r="H15" s="259">
        <v>95</v>
      </c>
      <c r="I15" s="302">
        <v>113</v>
      </c>
      <c r="J15" s="290">
        <v>0.35</v>
      </c>
      <c r="K15" s="260">
        <v>0.38</v>
      </c>
      <c r="L15" s="245">
        <f>+IF('Dimensional Change'!$A$1=A15,IF($L$7=TRUE,E15,C15),0)</f>
        <v>0</v>
      </c>
      <c r="M15" s="245">
        <f>+IF('Dimensional Change'!$A$1=A15,IF($L$7=TRUE,F15,D15),0)</f>
        <v>0</v>
      </c>
      <c r="N15" s="245">
        <f>+IF('Dimensional Change'!$A$2=A15,IF($L$7=TRUE,E15,C15),0)</f>
        <v>0</v>
      </c>
      <c r="O15" s="245">
        <f>+IF('Dimensional Change'!$A$2=A15,IF($L$7=TRUE,F15,D15),0)</f>
        <v>0</v>
      </c>
      <c r="P15" s="245">
        <f>+IF('Dimensional Change'!$A$3=A15,IF($L$7=TRUE,E15,C15),0)</f>
        <v>0</v>
      </c>
      <c r="Q15" s="245">
        <f>+IF('Dimensional Change'!$A$3=A15,IF($L$7=TRUE,F15,D15),0)</f>
        <v>0</v>
      </c>
      <c r="R15" s="245">
        <f>+IF('SG &amp; Density'!$B$9=A15,J15,0)</f>
        <v>0</v>
      </c>
      <c r="S15" s="245">
        <f>+IF('SG &amp; Density'!$B$18=A15,K15,0)</f>
        <v>0</v>
      </c>
      <c r="T15" s="245">
        <f>+IF('SG &amp; Density'!$B$9=A15,G15,0)</f>
        <v>0</v>
      </c>
      <c r="U15" s="245">
        <f>+IF('SG &amp; Density'!$B$18=A15,G15,0)</f>
        <v>0</v>
      </c>
      <c r="V15" s="245">
        <f>+IF('SG &amp; Density'!$B$10=A15,J15,0)</f>
        <v>0</v>
      </c>
      <c r="W15" s="245">
        <f>+IF('SG &amp; Density'!$B$19=A15,K15,0)</f>
        <v>0</v>
      </c>
      <c r="X15" s="245">
        <f>+IF('SG &amp; Density'!$B$10=A15,G15,0)</f>
        <v>0</v>
      </c>
      <c r="Y15" s="245">
        <f>+IF('SG &amp; Density'!$B$19=A15,G15,0)</f>
        <v>0</v>
      </c>
      <c r="Z15" s="10"/>
      <c r="AA15" s="306"/>
      <c r="AB15" s="306"/>
      <c r="AC15" s="306"/>
      <c r="AD15" s="306"/>
      <c r="AE15" s="306"/>
    </row>
    <row r="16" spans="1:31" ht="12.75">
      <c r="A16" s="255">
        <f t="shared" si="0"/>
        <v>8</v>
      </c>
      <c r="B16" s="258" t="s">
        <v>19</v>
      </c>
      <c r="C16" s="259">
        <v>6.6</v>
      </c>
      <c r="D16" s="259">
        <v>9.3</v>
      </c>
      <c r="E16" s="259">
        <v>0.0023</v>
      </c>
      <c r="F16" s="273">
        <v>0.0033</v>
      </c>
      <c r="G16" s="259">
        <v>15.8</v>
      </c>
      <c r="H16" s="259">
        <v>81</v>
      </c>
      <c r="I16" s="302">
        <v>133</v>
      </c>
      <c r="J16" s="290">
        <v>0.32</v>
      </c>
      <c r="K16" s="260">
        <v>0.37</v>
      </c>
      <c r="L16" s="245">
        <f>+IF('Dimensional Change'!$A$1=A16,IF($L$7=TRUE,E16,C16),0)</f>
        <v>0</v>
      </c>
      <c r="M16" s="245">
        <f>+IF('Dimensional Change'!$A$1=A16,IF($L$7=TRUE,F16,D16),0)</f>
        <v>0</v>
      </c>
      <c r="N16" s="245">
        <f>+IF('Dimensional Change'!$A$2=A16,IF($L$7=TRUE,E16,C16),0)</f>
        <v>0</v>
      </c>
      <c r="O16" s="245">
        <f>+IF('Dimensional Change'!$A$2=A16,IF($L$7=TRUE,F16,D16),0)</f>
        <v>0</v>
      </c>
      <c r="P16" s="245">
        <f>+IF('Dimensional Change'!$A$3=A16,IF($L$7=TRUE,E16,C16),0)</f>
        <v>0</v>
      </c>
      <c r="Q16" s="245">
        <f>+IF('Dimensional Change'!$A$3=A16,IF($L$7=TRUE,F16,D16),0)</f>
        <v>0</v>
      </c>
      <c r="R16" s="245">
        <f>+IF('SG &amp; Density'!$B$9=A16,J16,0)</f>
        <v>0</v>
      </c>
      <c r="S16" s="245">
        <f>+IF('SG &amp; Density'!$B$18=A16,K16,0)</f>
        <v>0</v>
      </c>
      <c r="T16" s="245">
        <f>+IF('SG &amp; Density'!$B$9=A16,G16,0)</f>
        <v>0</v>
      </c>
      <c r="U16" s="245">
        <f>+IF('SG &amp; Density'!$B$18=A16,G16,0)</f>
        <v>0</v>
      </c>
      <c r="V16" s="245">
        <f>+IF('SG &amp; Density'!$B$10=A16,J16,0)</f>
        <v>0</v>
      </c>
      <c r="W16" s="245">
        <f>+IF('SG &amp; Density'!$B$19=A16,K16,0)</f>
        <v>0</v>
      </c>
      <c r="X16" s="245">
        <f>+IF('SG &amp; Density'!$B$10=A16,G16,0)</f>
        <v>0</v>
      </c>
      <c r="Y16" s="245">
        <f>+IF('SG &amp; Density'!$B$19=A16,G16,0)</f>
        <v>0</v>
      </c>
      <c r="Z16" s="10"/>
      <c r="AA16" s="306"/>
      <c r="AB16" s="306"/>
      <c r="AC16" s="306"/>
      <c r="AD16" s="306"/>
      <c r="AE16" s="306"/>
    </row>
    <row r="17" spans="1:31" ht="12.75">
      <c r="A17" s="255">
        <f t="shared" si="0"/>
        <v>9</v>
      </c>
      <c r="B17" s="258" t="s">
        <v>14</v>
      </c>
      <c r="C17" s="259">
        <v>5.5</v>
      </c>
      <c r="D17" s="259">
        <v>11.9</v>
      </c>
      <c r="E17" s="259">
        <v>0.0019</v>
      </c>
      <c r="F17" s="273">
        <v>0.00431</v>
      </c>
      <c r="G17" s="259">
        <v>17.2</v>
      </c>
      <c r="H17" s="259">
        <v>55</v>
      </c>
      <c r="I17" s="302">
        <v>72</v>
      </c>
      <c r="J17" s="290">
        <v>0.56</v>
      </c>
      <c r="K17" s="260">
        <v>0.64</v>
      </c>
      <c r="L17" s="245">
        <f>+IF('Dimensional Change'!$A$1=A17,IF($L$7=TRUE,E17,C17),0)</f>
        <v>0</v>
      </c>
      <c r="M17" s="245">
        <f>+IF('Dimensional Change'!$A$1=A17,IF($L$7=TRUE,F17,D17),0)</f>
        <v>0</v>
      </c>
      <c r="N17" s="245">
        <f>+IF('Dimensional Change'!$A$2=A17,IF($L$7=TRUE,E17,C17),0)</f>
        <v>0</v>
      </c>
      <c r="O17" s="245">
        <f>+IF('Dimensional Change'!$A$2=A17,IF($L$7=TRUE,F17,D17),0)</f>
        <v>0</v>
      </c>
      <c r="P17" s="245">
        <f>+IF('Dimensional Change'!$A$3=A17,IF($L$7=TRUE,E17,C17),0)</f>
        <v>0</v>
      </c>
      <c r="Q17" s="245">
        <f>+IF('Dimensional Change'!$A$3=A17,IF($L$7=TRUE,F17,D17),0)</f>
        <v>0</v>
      </c>
      <c r="R17" s="245">
        <f>+IF('SG &amp; Density'!$B$9=A17,J17,0)</f>
        <v>0</v>
      </c>
      <c r="S17" s="245">
        <f>+IF('SG &amp; Density'!$B$18=A17,K17,0)</f>
        <v>0</v>
      </c>
      <c r="T17" s="245">
        <f>+IF('SG &amp; Density'!$B$9=A17,G17,0)</f>
        <v>0</v>
      </c>
      <c r="U17" s="245">
        <f>+IF('SG &amp; Density'!$B$18=A17,G17,0)</f>
        <v>0</v>
      </c>
      <c r="V17" s="245">
        <f>+IF('SG &amp; Density'!$B$10=A17,J17,0)</f>
        <v>0</v>
      </c>
      <c r="W17" s="245">
        <f>+IF('SG &amp; Density'!$B$19=A17,K17,0)</f>
        <v>0</v>
      </c>
      <c r="X17" s="245">
        <f>+IF('SG &amp; Density'!$B$10=A17,G17,0)</f>
        <v>0</v>
      </c>
      <c r="Y17" s="245">
        <f>+IF('SG &amp; Density'!$B$19=A17,G17,0)</f>
        <v>0</v>
      </c>
      <c r="Z17" s="10"/>
      <c r="AA17" s="306"/>
      <c r="AB17" s="306"/>
      <c r="AC17" s="306"/>
      <c r="AD17" s="306"/>
      <c r="AE17" s="306"/>
    </row>
    <row r="18" spans="1:31" ht="12.75">
      <c r="A18" s="255">
        <f t="shared" si="0"/>
        <v>10</v>
      </c>
      <c r="B18" s="258" t="s">
        <v>102</v>
      </c>
      <c r="C18" s="259">
        <v>6.3</v>
      </c>
      <c r="D18" s="259">
        <v>8.6</v>
      </c>
      <c r="E18" s="259">
        <v>0.00219</v>
      </c>
      <c r="F18" s="273">
        <v>0.00304</v>
      </c>
      <c r="G18" s="259">
        <v>16.2</v>
      </c>
      <c r="H18" s="259">
        <v>89</v>
      </c>
      <c r="I18" s="302">
        <v>72</v>
      </c>
      <c r="J18" s="290">
        <v>0.48</v>
      </c>
      <c r="K18" s="260">
        <v>0.55</v>
      </c>
      <c r="L18" s="245">
        <f>+IF('Dimensional Change'!$A$1=A18,IF($L$7=TRUE,E18,C18),0)</f>
        <v>0</v>
      </c>
      <c r="M18" s="245">
        <f>+IF('Dimensional Change'!$A$1=A18,IF($L$7=TRUE,F18,D18),0)</f>
        <v>0</v>
      </c>
      <c r="N18" s="245">
        <f>+IF('Dimensional Change'!$A$2=A18,IF($L$7=TRUE,E18,C18),0)</f>
        <v>0</v>
      </c>
      <c r="O18" s="245">
        <f>+IF('Dimensional Change'!$A$2=A18,IF($L$7=TRUE,F18,D18),0)</f>
        <v>0</v>
      </c>
      <c r="P18" s="245">
        <f>+IF('Dimensional Change'!$A$3=A18,IF($L$7=TRUE,E18,C18),0)</f>
        <v>0</v>
      </c>
      <c r="Q18" s="245">
        <f>+IF('Dimensional Change'!$A$3=A18,IF($L$7=TRUE,F18,D18),0)</f>
        <v>0</v>
      </c>
      <c r="R18" s="245">
        <f>+IF('SG &amp; Density'!$B$9=A18,J18,0)</f>
        <v>0</v>
      </c>
      <c r="S18" s="245">
        <f>+IF('SG &amp; Density'!$B$18=A18,K18,0)</f>
        <v>0</v>
      </c>
      <c r="T18" s="245">
        <f>+IF('SG &amp; Density'!$B$9=A18,G18,0)</f>
        <v>0</v>
      </c>
      <c r="U18" s="245">
        <f>+IF('SG &amp; Density'!$B$18=A18,G18,0)</f>
        <v>0</v>
      </c>
      <c r="V18" s="245">
        <f>+IF('SG &amp; Density'!$B$10=A18,J18,0)</f>
        <v>0</v>
      </c>
      <c r="W18" s="245">
        <f>+IF('SG &amp; Density'!$B$19=A18,K18,0)</f>
        <v>0</v>
      </c>
      <c r="X18" s="245">
        <f>+IF('SG &amp; Density'!$B$10=A18,G18,0)</f>
        <v>0</v>
      </c>
      <c r="Y18" s="245">
        <f>+IF('SG &amp; Density'!$B$19=A18,G18,0)</f>
        <v>0</v>
      </c>
      <c r="Z18" s="10"/>
      <c r="AA18" s="306"/>
      <c r="AB18" s="306"/>
      <c r="AC18" s="306"/>
      <c r="AD18" s="306"/>
      <c r="AE18" s="306"/>
    </row>
    <row r="19" spans="1:31" ht="12.75">
      <c r="A19" s="255">
        <f t="shared" si="0"/>
        <v>11</v>
      </c>
      <c r="B19" s="258" t="s">
        <v>103</v>
      </c>
      <c r="C19" s="259">
        <v>4.7</v>
      </c>
      <c r="D19" s="259">
        <v>9.2</v>
      </c>
      <c r="E19" s="259">
        <v>0.00162</v>
      </c>
      <c r="F19" s="273">
        <v>0.00327</v>
      </c>
      <c r="G19" s="259">
        <v>13.5</v>
      </c>
      <c r="H19" s="259" t="s">
        <v>38</v>
      </c>
      <c r="I19" s="302" t="s">
        <v>38</v>
      </c>
      <c r="J19" s="290">
        <v>0.49</v>
      </c>
      <c r="K19" s="260" t="s">
        <v>38</v>
      </c>
      <c r="L19" s="245">
        <f>+IF('Dimensional Change'!$A$1=A19,IF($L$7=TRUE,E19,C19),0)</f>
        <v>0</v>
      </c>
      <c r="M19" s="245">
        <f>+IF('Dimensional Change'!$A$1=A19,IF($L$7=TRUE,F19,D19),0)</f>
        <v>0</v>
      </c>
      <c r="N19" s="245">
        <f>+IF('Dimensional Change'!$A$2=A19,IF($L$7=TRUE,E19,C19),0)</f>
        <v>0</v>
      </c>
      <c r="O19" s="245">
        <f>+IF('Dimensional Change'!$A$2=A19,IF($L$7=TRUE,F19,D19),0)</f>
        <v>0</v>
      </c>
      <c r="P19" s="245">
        <f>+IF('Dimensional Change'!$A$3=A19,IF($L$7=TRUE,E19,C19),0)</f>
        <v>0</v>
      </c>
      <c r="Q19" s="245">
        <f>+IF('Dimensional Change'!$A$3=A19,IF($L$7=TRUE,F19,D19),0)</f>
        <v>0</v>
      </c>
      <c r="R19" s="245">
        <f>+IF('SG &amp; Density'!$B$9=A19,J19,0)</f>
        <v>0</v>
      </c>
      <c r="S19" s="245">
        <f>+IF('SG &amp; Density'!$B$18=A19,K19,0)</f>
        <v>0</v>
      </c>
      <c r="T19" s="245">
        <f>+IF('SG &amp; Density'!$B$9=A19,G19,0)</f>
        <v>0</v>
      </c>
      <c r="U19" s="245">
        <f>+IF('SG &amp; Density'!$B$18=A19,G19,0)</f>
        <v>0</v>
      </c>
      <c r="V19" s="245">
        <f>+IF('SG &amp; Density'!$B$10=A19,J19,0)</f>
        <v>0</v>
      </c>
      <c r="W19" s="245">
        <f>+IF('SG &amp; Density'!$B$19=A19,K19,0)</f>
        <v>0</v>
      </c>
      <c r="X19" s="245">
        <f>+IF('SG &amp; Density'!$B$10=A19,G19,0)</f>
        <v>0</v>
      </c>
      <c r="Y19" s="245">
        <f>+IF('SG &amp; Density'!$B$19=A19,G19,0)</f>
        <v>0</v>
      </c>
      <c r="Z19" s="10"/>
      <c r="AA19" s="306"/>
      <c r="AB19" s="306"/>
      <c r="AC19" s="306"/>
      <c r="AD19" s="306"/>
      <c r="AE19" s="306"/>
    </row>
    <row r="20" spans="1:31" ht="12.75">
      <c r="A20" s="255">
        <f t="shared" si="0"/>
        <v>12</v>
      </c>
      <c r="B20" s="258" t="s">
        <v>104</v>
      </c>
      <c r="C20" s="259">
        <v>6.5</v>
      </c>
      <c r="D20" s="259">
        <v>9</v>
      </c>
      <c r="E20" s="259">
        <v>0.00256</v>
      </c>
      <c r="F20" s="273">
        <v>0.00338</v>
      </c>
      <c r="G20" s="259">
        <v>15.6</v>
      </c>
      <c r="H20" s="259">
        <v>75</v>
      </c>
      <c r="I20" s="302">
        <v>70</v>
      </c>
      <c r="J20" s="290">
        <v>0.6</v>
      </c>
      <c r="K20" s="260">
        <v>0.65</v>
      </c>
      <c r="L20" s="245">
        <f>+IF('Dimensional Change'!$A$1=A20,IF($L$7=TRUE,E20,C20),0)</f>
        <v>0</v>
      </c>
      <c r="M20" s="245">
        <f>+IF('Dimensional Change'!$A$1=A20,IF($L$7=TRUE,F20,D20),0)</f>
        <v>0</v>
      </c>
      <c r="N20" s="245">
        <f>+IF('Dimensional Change'!$A$2=A20,IF($L$7=TRUE,E20,C20),0)</f>
        <v>0</v>
      </c>
      <c r="O20" s="245">
        <f>+IF('Dimensional Change'!$A$2=A20,IF($L$7=TRUE,F20,D20),0)</f>
        <v>0</v>
      </c>
      <c r="P20" s="245">
        <f>+IF('Dimensional Change'!$A$3=A20,IF($L$7=TRUE,E20,C20),0)</f>
        <v>0</v>
      </c>
      <c r="Q20" s="245">
        <f>+IF('Dimensional Change'!$A$3=A20,IF($L$7=TRUE,F20,D20),0)</f>
        <v>0</v>
      </c>
      <c r="R20" s="245">
        <f>+IF('SG &amp; Density'!$B$9=A20,J20,0)</f>
        <v>0</v>
      </c>
      <c r="S20" s="245">
        <f>+IF('SG &amp; Density'!$B$18=A20,K20,0)</f>
        <v>0</v>
      </c>
      <c r="T20" s="245">
        <f>+IF('SG &amp; Density'!$B$9=A20,G20,0)</f>
        <v>0</v>
      </c>
      <c r="U20" s="245">
        <f>+IF('SG &amp; Density'!$B$18=A20,G20,0)</f>
        <v>0</v>
      </c>
      <c r="V20" s="245">
        <f>+IF('SG &amp; Density'!$B$10=A20,J20,0)</f>
        <v>0</v>
      </c>
      <c r="W20" s="245">
        <f>+IF('SG &amp; Density'!$B$19=A20,K20,0)</f>
        <v>0</v>
      </c>
      <c r="X20" s="245">
        <f>+IF('SG &amp; Density'!$B$10=A20,G20,0)</f>
        <v>0</v>
      </c>
      <c r="Y20" s="245">
        <f>+IF('SG &amp; Density'!$B$19=A20,G20,0)</f>
        <v>0</v>
      </c>
      <c r="Z20" s="10"/>
      <c r="AA20" s="306"/>
      <c r="AB20" s="306"/>
      <c r="AC20" s="306"/>
      <c r="AD20" s="306"/>
      <c r="AE20" s="306"/>
    </row>
    <row r="21" spans="1:31" ht="12.75">
      <c r="A21" s="255">
        <f t="shared" si="0"/>
        <v>13</v>
      </c>
      <c r="B21" s="258" t="s">
        <v>105</v>
      </c>
      <c r="C21" s="259">
        <v>7.3</v>
      </c>
      <c r="D21" s="259">
        <v>9.5</v>
      </c>
      <c r="E21" s="259">
        <v>0.00256</v>
      </c>
      <c r="F21" s="273">
        <v>0.00338</v>
      </c>
      <c r="G21" s="259">
        <v>16.8</v>
      </c>
      <c r="H21" s="259">
        <v>74</v>
      </c>
      <c r="I21" s="302">
        <v>72</v>
      </c>
      <c r="J21" s="290">
        <v>0.55</v>
      </c>
      <c r="K21" s="260">
        <v>0.62</v>
      </c>
      <c r="L21" s="245">
        <f>+IF('Dimensional Change'!$A$1=A21,IF($L$7=TRUE,E21,C21),0)</f>
        <v>0</v>
      </c>
      <c r="M21" s="245">
        <f>+IF('Dimensional Change'!$A$1=A21,IF($L$7=TRUE,F21,D21),0)</f>
        <v>0</v>
      </c>
      <c r="N21" s="245">
        <f>+IF('Dimensional Change'!$A$2=A21,IF($L$7=TRUE,E21,C21),0)</f>
        <v>0</v>
      </c>
      <c r="O21" s="245">
        <f>+IF('Dimensional Change'!$A$2=A21,IF($L$7=TRUE,F21,D21),0)</f>
        <v>0</v>
      </c>
      <c r="P21" s="245">
        <f>+IF('Dimensional Change'!$A$3=A21,IF($L$7=TRUE,E21,C21),0)</f>
        <v>0</v>
      </c>
      <c r="Q21" s="245">
        <f>+IF('Dimensional Change'!$A$3=A21,IF($L$7=TRUE,F21,D21),0)</f>
        <v>0</v>
      </c>
      <c r="R21" s="245">
        <f>+IF('SG &amp; Density'!$B$9=A21,J21,0)</f>
        <v>0</v>
      </c>
      <c r="S21" s="245">
        <f>+IF('SG &amp; Density'!$B$18=A21,K21,0)</f>
        <v>0</v>
      </c>
      <c r="T21" s="245">
        <f>+IF('SG &amp; Density'!$B$9=A21,G21,0)</f>
        <v>0</v>
      </c>
      <c r="U21" s="245">
        <f>+IF('SG &amp; Density'!$B$18=A21,G21,0)</f>
        <v>0</v>
      </c>
      <c r="V21" s="245">
        <f>+IF('SG &amp; Density'!$B$10=A21,J21,0)</f>
        <v>0</v>
      </c>
      <c r="W21" s="245">
        <f>+IF('SG &amp; Density'!$B$19=A21,K21,0)</f>
        <v>0</v>
      </c>
      <c r="X21" s="245">
        <f>+IF('SG &amp; Density'!$B$10=A21,G21,0)</f>
        <v>0</v>
      </c>
      <c r="Y21" s="245">
        <f>+IF('SG &amp; Density'!$B$19=A21,G21,0)</f>
        <v>0</v>
      </c>
      <c r="Z21" s="10"/>
      <c r="AA21" s="306"/>
      <c r="AB21" s="306"/>
      <c r="AC21" s="306"/>
      <c r="AD21" s="306"/>
      <c r="AE21" s="306"/>
    </row>
    <row r="22" spans="1:31" ht="12.75">
      <c r="A22" s="255">
        <f t="shared" si="0"/>
        <v>14</v>
      </c>
      <c r="B22" s="258" t="s">
        <v>15</v>
      </c>
      <c r="C22" s="259">
        <v>3.6</v>
      </c>
      <c r="D22" s="259">
        <v>8.1</v>
      </c>
      <c r="E22" s="259">
        <v>0.00123</v>
      </c>
      <c r="F22" s="273">
        <v>0.00285</v>
      </c>
      <c r="G22" s="259">
        <v>12.5</v>
      </c>
      <c r="H22" s="259" t="s">
        <v>38</v>
      </c>
      <c r="I22" s="302" t="s">
        <v>38</v>
      </c>
      <c r="J22" s="290">
        <v>0.33</v>
      </c>
      <c r="K22" s="260">
        <v>0.36</v>
      </c>
      <c r="L22" s="245">
        <f>+IF('Dimensional Change'!$A$1=A22,IF($L$7=TRUE,E22,C22),0)</f>
        <v>0</v>
      </c>
      <c r="M22" s="245">
        <f>+IF('Dimensional Change'!$A$1=A22,IF($L$7=TRUE,F22,D22),0)</f>
        <v>0</v>
      </c>
      <c r="N22" s="245">
        <f>+IF('Dimensional Change'!$A$2=A22,IF($L$7=TRUE,E22,C22),0)</f>
        <v>0</v>
      </c>
      <c r="O22" s="245">
        <f>+IF('Dimensional Change'!$A$2=A22,IF($L$7=TRUE,F22,D22),0)</f>
        <v>0</v>
      </c>
      <c r="P22" s="245">
        <f>+IF('Dimensional Change'!$A$3=A22,IF($L$7=TRUE,E22,C22),0)</f>
        <v>0</v>
      </c>
      <c r="Q22" s="245">
        <f>+IF('Dimensional Change'!$A$3=A22,IF($L$7=TRUE,F22,D22),0)</f>
        <v>0</v>
      </c>
      <c r="R22" s="245">
        <f>+IF('SG &amp; Density'!$B$9=A22,J22,0)</f>
        <v>0</v>
      </c>
      <c r="S22" s="245">
        <f>+IF('SG &amp; Density'!$B$18=A22,K22,0)</f>
        <v>0</v>
      </c>
      <c r="T22" s="245">
        <f>+IF('SG &amp; Density'!$B$9=A22,G22,0)</f>
        <v>0</v>
      </c>
      <c r="U22" s="245">
        <f>+IF('SG &amp; Density'!$B$18=A22,G22,0)</f>
        <v>0</v>
      </c>
      <c r="V22" s="245">
        <f>+IF('SG &amp; Density'!$B$10=A22,J22,0)</f>
        <v>0</v>
      </c>
      <c r="W22" s="245">
        <f>+IF('SG &amp; Density'!$B$19=A22,K22,0)</f>
        <v>0</v>
      </c>
      <c r="X22" s="245">
        <f>+IF('SG &amp; Density'!$B$10=A22,G22,0)</f>
        <v>0</v>
      </c>
      <c r="Y22" s="245">
        <f>+IF('SG &amp; Density'!$B$19=A22,G22,0)</f>
        <v>0</v>
      </c>
      <c r="Z22" s="10"/>
      <c r="AA22" s="306"/>
      <c r="AB22" s="306"/>
      <c r="AC22" s="306"/>
      <c r="AD22" s="306"/>
      <c r="AE22" s="306"/>
    </row>
    <row r="23" spans="1:31" ht="12.75">
      <c r="A23" s="255">
        <f t="shared" si="0"/>
        <v>15</v>
      </c>
      <c r="B23" s="258" t="s">
        <v>16</v>
      </c>
      <c r="C23" s="259">
        <v>3.4</v>
      </c>
      <c r="D23" s="259">
        <v>6.4</v>
      </c>
      <c r="E23" s="259">
        <v>0.00116</v>
      </c>
      <c r="F23" s="273">
        <v>0.00223</v>
      </c>
      <c r="G23" s="259">
        <v>10.6</v>
      </c>
      <c r="H23" s="259" t="s">
        <v>38</v>
      </c>
      <c r="I23" s="302" t="s">
        <v>38</v>
      </c>
      <c r="J23" s="290">
        <v>0.36</v>
      </c>
      <c r="K23" s="260">
        <v>0.38</v>
      </c>
      <c r="L23" s="245">
        <f>+IF('Dimensional Change'!$A$1=A23,IF($L$7=TRUE,E23,C23),0)</f>
        <v>0</v>
      </c>
      <c r="M23" s="245">
        <f>+IF('Dimensional Change'!$A$1=A23,IF($L$7=TRUE,F23,D23),0)</f>
        <v>0</v>
      </c>
      <c r="N23" s="245">
        <f>+IF('Dimensional Change'!$A$2=A23,IF($L$7=TRUE,E23,C23),0)</f>
        <v>0</v>
      </c>
      <c r="O23" s="245">
        <f>+IF('Dimensional Change'!$A$2=A23,IF($L$7=TRUE,F23,D23),0)</f>
        <v>0</v>
      </c>
      <c r="P23" s="245">
        <f>+IF('Dimensional Change'!$A$3=A23,IF($L$7=TRUE,E23,C23),0)</f>
        <v>0</v>
      </c>
      <c r="Q23" s="245">
        <f>+IF('Dimensional Change'!$A$3=A23,IF($L$7=TRUE,F23,D23),0)</f>
        <v>0</v>
      </c>
      <c r="R23" s="245">
        <f>+IF('SG &amp; Density'!$B$9=A23,J23,0)</f>
        <v>0</v>
      </c>
      <c r="S23" s="245">
        <f>+IF('SG &amp; Density'!$B$18=A23,K23,0)</f>
        <v>0</v>
      </c>
      <c r="T23" s="245">
        <f>+IF('SG &amp; Density'!$B$9=A23,G23,0)</f>
        <v>0</v>
      </c>
      <c r="U23" s="245">
        <f>+IF('SG &amp; Density'!$B$18=A23,G23,0)</f>
        <v>0</v>
      </c>
      <c r="V23" s="245">
        <f>+IF('SG &amp; Density'!$B$10=A23,J23,0)</f>
        <v>0</v>
      </c>
      <c r="W23" s="245">
        <f>+IF('SG &amp; Density'!$B$19=A23,K23,0)</f>
        <v>0</v>
      </c>
      <c r="X23" s="245">
        <f>+IF('SG &amp; Density'!$B$10=A23,G23,0)</f>
        <v>0</v>
      </c>
      <c r="Y23" s="245">
        <f>+IF('SG &amp; Density'!$B$19=A23,G23,0)</f>
        <v>0</v>
      </c>
      <c r="Z23" s="10"/>
      <c r="AA23" s="306"/>
      <c r="AB23" s="306"/>
      <c r="AC23" s="306"/>
      <c r="AD23" s="306"/>
      <c r="AE23" s="306"/>
    </row>
    <row r="24" spans="1:31" ht="12.75">
      <c r="A24" s="255">
        <f t="shared" si="0"/>
        <v>16</v>
      </c>
      <c r="B24" s="258" t="s">
        <v>17</v>
      </c>
      <c r="C24" s="259">
        <v>3.7</v>
      </c>
      <c r="D24" s="259">
        <v>7.1</v>
      </c>
      <c r="E24" s="259">
        <v>0.00126</v>
      </c>
      <c r="F24" s="273">
        <v>0.00248</v>
      </c>
      <c r="G24" s="259">
        <v>11.5</v>
      </c>
      <c r="H24" s="259">
        <v>58</v>
      </c>
      <c r="I24" s="302" t="s">
        <v>38</v>
      </c>
      <c r="J24" s="290">
        <v>0.47</v>
      </c>
      <c r="K24" s="260">
        <v>0.5</v>
      </c>
      <c r="L24" s="245">
        <f>+IF('Dimensional Change'!$A$1=A24,IF($L$7=TRUE,E24,C24),0)</f>
        <v>0</v>
      </c>
      <c r="M24" s="245">
        <f>+IF('Dimensional Change'!$A$1=A24,IF($L$7=TRUE,F24,D24),0)</f>
        <v>0</v>
      </c>
      <c r="N24" s="245">
        <f>+IF('Dimensional Change'!$A$2=A24,IF($L$7=TRUE,E24,C24),0)</f>
        <v>0</v>
      </c>
      <c r="O24" s="245">
        <f>+IF('Dimensional Change'!$A$2=A24,IF($L$7=TRUE,F24,D24),0)</f>
        <v>0</v>
      </c>
      <c r="P24" s="245">
        <f>+IF('Dimensional Change'!$A$3=A24,IF($L$7=TRUE,E24,C24),0)</f>
        <v>0</v>
      </c>
      <c r="Q24" s="245">
        <f>+IF('Dimensional Change'!$A$3=A24,IF($L$7=TRUE,F24,D24),0)</f>
        <v>0</v>
      </c>
      <c r="R24" s="245">
        <f>+IF('SG &amp; Density'!$B$9=A24,J24,0)</f>
        <v>0</v>
      </c>
      <c r="S24" s="245">
        <f>+IF('SG &amp; Density'!$B$18=A24,K24,0)</f>
        <v>0</v>
      </c>
      <c r="T24" s="245">
        <f>+IF('SG &amp; Density'!$B$9=A24,G24,0)</f>
        <v>0</v>
      </c>
      <c r="U24" s="245">
        <f>+IF('SG &amp; Density'!$B$18=A24,G24,0)</f>
        <v>0</v>
      </c>
      <c r="V24" s="245">
        <f>+IF('SG &amp; Density'!$B$10=A24,J24,0)</f>
        <v>0</v>
      </c>
      <c r="W24" s="245">
        <f>+IF('SG &amp; Density'!$B$19=A24,K24,0)</f>
        <v>0</v>
      </c>
      <c r="X24" s="245">
        <f>+IF('SG &amp; Density'!$B$10=A24,G24,0)</f>
        <v>0</v>
      </c>
      <c r="Y24" s="245">
        <f>+IF('SG &amp; Density'!$B$19=A24,G24,0)</f>
        <v>0</v>
      </c>
      <c r="Z24" s="10"/>
      <c r="AA24" s="306"/>
      <c r="AB24" s="306"/>
      <c r="AC24" s="306"/>
      <c r="AD24" s="306"/>
      <c r="AE24" s="306"/>
    </row>
    <row r="25" spans="1:31" ht="12.75">
      <c r="A25" s="255">
        <f t="shared" si="0"/>
        <v>17</v>
      </c>
      <c r="B25" s="258" t="s">
        <v>18</v>
      </c>
      <c r="C25" s="259">
        <v>3.4</v>
      </c>
      <c r="D25" s="259">
        <v>6.7</v>
      </c>
      <c r="E25" s="259">
        <v>0.00116</v>
      </c>
      <c r="F25" s="273">
        <v>0.00234</v>
      </c>
      <c r="G25" s="259">
        <v>11.6</v>
      </c>
      <c r="H25" s="259">
        <v>120</v>
      </c>
      <c r="I25" s="302" t="s">
        <v>38</v>
      </c>
      <c r="J25" s="290">
        <v>0.4</v>
      </c>
      <c r="K25" s="260">
        <v>0.43</v>
      </c>
      <c r="L25" s="245">
        <f>+IF('Dimensional Change'!$A$1=A25,IF($L$7=TRUE,E25,C25),0)</f>
        <v>0</v>
      </c>
      <c r="M25" s="245">
        <f>+IF('Dimensional Change'!$A$1=A25,IF($L$7=TRUE,F25,D25),0)</f>
        <v>0</v>
      </c>
      <c r="N25" s="245">
        <f>+IF('Dimensional Change'!$A$2=A25,IF($L$7=TRUE,E25,C25),0)</f>
        <v>0</v>
      </c>
      <c r="O25" s="245">
        <f>+IF('Dimensional Change'!$A$2=A25,IF($L$7=TRUE,F25,D25),0)</f>
        <v>0</v>
      </c>
      <c r="P25" s="245">
        <f>+IF('Dimensional Change'!$A$3=A25,IF($L$7=TRUE,E25,C25),0)</f>
        <v>0</v>
      </c>
      <c r="Q25" s="245">
        <f>+IF('Dimensional Change'!$A$3=A25,IF($L$7=TRUE,F25,D25),0)</f>
        <v>0</v>
      </c>
      <c r="R25" s="245">
        <f>+IF('SG &amp; Density'!$B$9=A25,J25,0)</f>
        <v>0</v>
      </c>
      <c r="S25" s="245">
        <f>+IF('SG &amp; Density'!$B$18=A25,K25,0)</f>
        <v>0</v>
      </c>
      <c r="T25" s="245">
        <f>+IF('SG &amp; Density'!$B$9=A25,G25,0)</f>
        <v>0</v>
      </c>
      <c r="U25" s="245">
        <f>+IF('SG &amp; Density'!$B$18=A25,G25,0)</f>
        <v>0</v>
      </c>
      <c r="V25" s="245">
        <f>+IF('SG &amp; Density'!$B$10=A25,J25,0)</f>
        <v>0</v>
      </c>
      <c r="W25" s="245">
        <f>+IF('SG &amp; Density'!$B$19=A25,K25,0)</f>
        <v>0</v>
      </c>
      <c r="X25" s="245">
        <f>+IF('SG &amp; Density'!$B$10=A25,G25,0)</f>
        <v>0</v>
      </c>
      <c r="Y25" s="245">
        <f>+IF('SG &amp; Density'!$B$19=A25,G25,0)</f>
        <v>0</v>
      </c>
      <c r="Z25" s="10"/>
      <c r="AA25" s="306"/>
      <c r="AB25" s="306"/>
      <c r="AC25" s="306"/>
      <c r="AD25" s="306"/>
      <c r="AE25" s="306"/>
    </row>
    <row r="26" spans="1:31" ht="12.75">
      <c r="A26" s="255">
        <f t="shared" si="0"/>
        <v>18</v>
      </c>
      <c r="B26" s="258" t="s">
        <v>106</v>
      </c>
      <c r="C26" s="259">
        <v>3.6</v>
      </c>
      <c r="D26" s="259">
        <v>8.6</v>
      </c>
      <c r="E26" s="259">
        <v>0.00123</v>
      </c>
      <c r="F26" s="273">
        <v>0.00304</v>
      </c>
      <c r="G26" s="259">
        <v>12.4</v>
      </c>
      <c r="H26" s="259">
        <v>162</v>
      </c>
      <c r="I26" s="302">
        <v>146</v>
      </c>
      <c r="J26" s="290">
        <v>0.31</v>
      </c>
      <c r="K26" s="260">
        <v>0.35</v>
      </c>
      <c r="L26" s="245">
        <f>+IF('Dimensional Change'!$A$1=A26,IF($L$7=TRUE,E26,C26),0)</f>
        <v>0</v>
      </c>
      <c r="M26" s="245">
        <f>+IF('Dimensional Change'!$A$1=A26,IF($L$7=TRUE,F26,D26),0)</f>
        <v>0</v>
      </c>
      <c r="N26" s="245">
        <f>+IF('Dimensional Change'!$A$2=A26,IF($L$7=TRUE,E26,C26),0)</f>
        <v>0</v>
      </c>
      <c r="O26" s="245">
        <f>+IF('Dimensional Change'!$A$2=A26,IF($L$7=TRUE,F26,D26),0)</f>
        <v>0</v>
      </c>
      <c r="P26" s="245">
        <f>+IF('Dimensional Change'!$A$3=A26,IF($L$7=TRUE,E26,C26),0)</f>
        <v>0</v>
      </c>
      <c r="Q26" s="245">
        <f>+IF('Dimensional Change'!$A$3=A26,IF($L$7=TRUE,F26,D26),0)</f>
        <v>0</v>
      </c>
      <c r="R26" s="245">
        <f>+IF('SG &amp; Density'!$B$9=A26,J26,0)</f>
        <v>0</v>
      </c>
      <c r="S26" s="245">
        <f>+IF('SG &amp; Density'!$B$18=A26,K26,0)</f>
        <v>0</v>
      </c>
      <c r="T26" s="245">
        <f>+IF('SG &amp; Density'!$B$9=A26,G26,0)</f>
        <v>0</v>
      </c>
      <c r="U26" s="245">
        <f>+IF('SG &amp; Density'!$B$18=A26,G26,0)</f>
        <v>0</v>
      </c>
      <c r="V26" s="245">
        <f>+IF('SG &amp; Density'!$B$10=A26,J26,0)</f>
        <v>0</v>
      </c>
      <c r="W26" s="245">
        <f>+IF('SG &amp; Density'!$B$19=A26,K26,0)</f>
        <v>0</v>
      </c>
      <c r="X26" s="245">
        <f>+IF('SG &amp; Density'!$B$10=A26,G26,0)</f>
        <v>0</v>
      </c>
      <c r="Y26" s="245">
        <f>+IF('SG &amp; Density'!$B$19=A26,G26,0)</f>
        <v>0</v>
      </c>
      <c r="Z26" s="10"/>
      <c r="AA26" s="306"/>
      <c r="AB26" s="306"/>
      <c r="AC26" s="306"/>
      <c r="AD26" s="306"/>
      <c r="AE26" s="306"/>
    </row>
    <row r="27" spans="1:31" ht="12.75">
      <c r="A27" s="255">
        <f t="shared" si="0"/>
        <v>19</v>
      </c>
      <c r="B27" s="258" t="s">
        <v>107</v>
      </c>
      <c r="C27" s="259">
        <v>3.9</v>
      </c>
      <c r="D27" s="259">
        <v>9.2</v>
      </c>
      <c r="E27" s="259">
        <v>0.00133</v>
      </c>
      <c r="F27" s="273">
        <v>0.00327</v>
      </c>
      <c r="G27" s="259">
        <v>13.9</v>
      </c>
      <c r="H27" s="259" t="s">
        <v>38</v>
      </c>
      <c r="I27" s="302" t="s">
        <v>38</v>
      </c>
      <c r="J27" s="290">
        <v>0.37</v>
      </c>
      <c r="K27" s="260">
        <v>0.4</v>
      </c>
      <c r="L27" s="245">
        <f>+IF('Dimensional Change'!$A$1=A27,IF($L$7=TRUE,E27,C27),0)</f>
        <v>0</v>
      </c>
      <c r="M27" s="245">
        <f>+IF('Dimensional Change'!$A$1=A27,IF($L$7=TRUE,F27,D27),0)</f>
        <v>0</v>
      </c>
      <c r="N27" s="245">
        <f>+IF('Dimensional Change'!$A$2=A27,IF($L$7=TRUE,E27,C27),0)</f>
        <v>0</v>
      </c>
      <c r="O27" s="245">
        <f>+IF('Dimensional Change'!$A$2=A27,IF($L$7=TRUE,F27,D27),0)</f>
        <v>0</v>
      </c>
      <c r="P27" s="245">
        <f>+IF('Dimensional Change'!$A$3=A27,IF($L$7=TRUE,E27,C27),0)</f>
        <v>0</v>
      </c>
      <c r="Q27" s="245">
        <f>+IF('Dimensional Change'!$A$3=A27,IF($L$7=TRUE,F27,D27),0)</f>
        <v>0</v>
      </c>
      <c r="R27" s="245">
        <f>+IF('SG &amp; Density'!$B$9=A27,J27,0)</f>
        <v>0</v>
      </c>
      <c r="S27" s="245">
        <f>+IF('SG &amp; Density'!$B$18=A27,K27,0)</f>
        <v>0</v>
      </c>
      <c r="T27" s="245">
        <f>+IF('SG &amp; Density'!$B$9=A27,G27,0)</f>
        <v>0</v>
      </c>
      <c r="U27" s="245">
        <f>+IF('SG &amp; Density'!$B$18=A27,G27,0)</f>
        <v>0</v>
      </c>
      <c r="V27" s="245">
        <f>+IF('SG &amp; Density'!$B$10=A27,J27,0)</f>
        <v>0</v>
      </c>
      <c r="W27" s="245">
        <f>+IF('SG &amp; Density'!$B$19=A27,K27,0)</f>
        <v>0</v>
      </c>
      <c r="X27" s="245">
        <f>+IF('SG &amp; Density'!$B$10=A27,G27,0)</f>
        <v>0</v>
      </c>
      <c r="Y27" s="245">
        <f>+IF('SG &amp; Density'!$B$19=A27,G27,0)</f>
        <v>0</v>
      </c>
      <c r="Z27" s="10"/>
      <c r="AA27" s="306"/>
      <c r="AB27" s="306"/>
      <c r="AC27" s="306"/>
      <c r="AD27" s="306"/>
      <c r="AE27" s="306"/>
    </row>
    <row r="28" spans="1:31" ht="12.75">
      <c r="A28" s="255">
        <f t="shared" si="0"/>
        <v>20</v>
      </c>
      <c r="B28" s="258" t="s">
        <v>108</v>
      </c>
      <c r="C28" s="259">
        <v>4.2</v>
      </c>
      <c r="D28" s="259">
        <v>9.5</v>
      </c>
      <c r="E28" s="259">
        <v>0.00144</v>
      </c>
      <c r="F28" s="273">
        <v>0.00338</v>
      </c>
      <c r="G28" s="259">
        <v>14.6</v>
      </c>
      <c r="H28" s="259">
        <v>95</v>
      </c>
      <c r="I28" s="302">
        <v>92</v>
      </c>
      <c r="J28" s="290">
        <v>0.46</v>
      </c>
      <c r="K28" s="260">
        <v>0.5</v>
      </c>
      <c r="L28" s="245">
        <f>+IF('Dimensional Change'!$A$1=A28,IF($L$7=TRUE,E28,C28),0)</f>
        <v>0</v>
      </c>
      <c r="M28" s="245">
        <f>+IF('Dimensional Change'!$A$1=A28,IF($L$7=TRUE,F28,D28),0)</f>
        <v>0</v>
      </c>
      <c r="N28" s="245">
        <f>+IF('Dimensional Change'!$A$2=A28,IF($L$7=TRUE,E28,C28),0)</f>
        <v>0</v>
      </c>
      <c r="O28" s="245">
        <f>+IF('Dimensional Change'!$A$2=A28,IF($L$7=TRUE,F28,D28),0)</f>
        <v>0</v>
      </c>
      <c r="P28" s="245">
        <f>+IF('Dimensional Change'!$A$3=A28,IF($L$7=TRUE,E28,C28),0)</f>
        <v>0</v>
      </c>
      <c r="Q28" s="245">
        <f>+IF('Dimensional Change'!$A$3=A28,IF($L$7=TRUE,F28,D28),0)</f>
        <v>0</v>
      </c>
      <c r="R28" s="245">
        <f>+IF('SG &amp; Density'!$B$9=A28,J28,0)</f>
        <v>0</v>
      </c>
      <c r="S28" s="245">
        <f>+IF('SG &amp; Density'!$B$18=A28,K28,0)</f>
        <v>0</v>
      </c>
      <c r="T28" s="245">
        <f>+IF('SG &amp; Density'!$B$9=A28,G28,0)</f>
        <v>0</v>
      </c>
      <c r="U28" s="245">
        <f>+IF('SG &amp; Density'!$B$18=A28,G28,0)</f>
        <v>0</v>
      </c>
      <c r="V28" s="245">
        <f>+IF('SG &amp; Density'!$B$10=A28,J28,0)</f>
        <v>0</v>
      </c>
      <c r="W28" s="245">
        <f>+IF('SG &amp; Density'!$B$19=A28,K28,0)</f>
        <v>0</v>
      </c>
      <c r="X28" s="245">
        <f>+IF('SG &amp; Density'!$B$10=A28,G28,0)</f>
        <v>0</v>
      </c>
      <c r="Y28" s="245">
        <f>+IF('SG &amp; Density'!$B$19=A28,G28,0)</f>
        <v>0</v>
      </c>
      <c r="Z28" s="10"/>
      <c r="AA28" s="306"/>
      <c r="AB28" s="306"/>
      <c r="AC28" s="306"/>
      <c r="AD28" s="306"/>
      <c r="AE28" s="306"/>
    </row>
    <row r="29" spans="1:31" ht="12.75">
      <c r="A29" s="255">
        <f t="shared" si="0"/>
        <v>21</v>
      </c>
      <c r="B29" s="258" t="s">
        <v>109</v>
      </c>
      <c r="C29" s="259">
        <v>4.7</v>
      </c>
      <c r="D29" s="259">
        <v>10.2</v>
      </c>
      <c r="E29" s="259">
        <v>0.00183</v>
      </c>
      <c r="F29" s="273">
        <v>0.00419</v>
      </c>
      <c r="G29" s="259">
        <v>15.4</v>
      </c>
      <c r="H29" s="259">
        <v>66</v>
      </c>
      <c r="I29" s="302">
        <v>61</v>
      </c>
      <c r="J29" s="290">
        <v>0.59</v>
      </c>
      <c r="K29" s="260">
        <v>0.64</v>
      </c>
      <c r="L29" s="245">
        <f>+IF('Dimensional Change'!$A$1=A29,IF($L$7=TRUE,E29,C29),0)</f>
        <v>0</v>
      </c>
      <c r="M29" s="245">
        <f>+IF('Dimensional Change'!$A$1=A29,IF($L$7=TRUE,F29,D29),0)</f>
        <v>0</v>
      </c>
      <c r="N29" s="245">
        <f>+IF('Dimensional Change'!$A$2=A29,IF($L$7=TRUE,E29,C29),0)</f>
        <v>0</v>
      </c>
      <c r="O29" s="245">
        <f>+IF('Dimensional Change'!$A$2=A29,IF($L$7=TRUE,F29,D29),0)</f>
        <v>0</v>
      </c>
      <c r="P29" s="245">
        <f>+IF('Dimensional Change'!$A$3=A29,IF($L$7=TRUE,E29,C29),0)</f>
        <v>0</v>
      </c>
      <c r="Q29" s="245">
        <f>+IF('Dimensional Change'!$A$3=A29,IF($L$7=TRUE,F29,D29),0)</f>
        <v>0</v>
      </c>
      <c r="R29" s="245">
        <f>+IF('SG &amp; Density'!$B$9=A29,J29,0)</f>
        <v>0</v>
      </c>
      <c r="S29" s="245">
        <f>+IF('SG &amp; Density'!$B$18=A29,K29,0)</f>
        <v>0</v>
      </c>
      <c r="T29" s="245">
        <f>+IF('SG &amp; Density'!$B$9=A29,G29,0)</f>
        <v>0</v>
      </c>
      <c r="U29" s="245">
        <f>+IF('SG &amp; Density'!$B$18=A29,G29,0)</f>
        <v>0</v>
      </c>
      <c r="V29" s="245">
        <f>+IF('SG &amp; Density'!$B$10=A29,J29,0)</f>
        <v>0</v>
      </c>
      <c r="W29" s="245">
        <f>+IF('SG &amp; Density'!$B$19=A29,K29,0)</f>
        <v>0</v>
      </c>
      <c r="X29" s="245">
        <f>+IF('SG &amp; Density'!$B$10=A29,G29,0)</f>
        <v>0</v>
      </c>
      <c r="Y29" s="245">
        <f>+IF('SG &amp; Density'!$B$19=A29,G29,0)</f>
        <v>0</v>
      </c>
      <c r="Z29" s="10"/>
      <c r="AA29" s="306"/>
      <c r="AB29" s="306"/>
      <c r="AC29" s="306"/>
      <c r="AD29" s="306"/>
      <c r="AE29" s="306"/>
    </row>
    <row r="30" spans="1:31" ht="12.75">
      <c r="A30" s="255">
        <f t="shared" si="0"/>
        <v>22</v>
      </c>
      <c r="B30" s="258" t="s">
        <v>110</v>
      </c>
      <c r="C30" s="259">
        <v>4.8</v>
      </c>
      <c r="D30" s="259">
        <v>8.1</v>
      </c>
      <c r="E30" s="259">
        <v>0.00165</v>
      </c>
      <c r="F30" s="273">
        <v>0.00285</v>
      </c>
      <c r="G30" s="259">
        <v>14.9</v>
      </c>
      <c r="H30" s="259">
        <v>44</v>
      </c>
      <c r="I30" s="302">
        <v>57</v>
      </c>
      <c r="J30" s="290">
        <v>0.57</v>
      </c>
      <c r="K30" s="260">
        <v>0.63</v>
      </c>
      <c r="L30" s="245">
        <f>+IF('Dimensional Change'!$A$1=A30,IF($L$7=TRUE,E30,C30),0)</f>
        <v>0</v>
      </c>
      <c r="M30" s="245">
        <f>+IF('Dimensional Change'!$A$1=A30,IF($L$7=TRUE,F30,D30),0)</f>
        <v>0</v>
      </c>
      <c r="N30" s="245">
        <f>+IF('Dimensional Change'!$A$2=A30,IF($L$7=TRUE,E30,C30),0)</f>
        <v>0</v>
      </c>
      <c r="O30" s="245">
        <f>+IF('Dimensional Change'!$A$2=A30,IF($L$7=TRUE,F30,D30),0)</f>
        <v>0</v>
      </c>
      <c r="P30" s="245">
        <f>+IF('Dimensional Change'!$A$3=A30,IF($L$7=TRUE,E30,C30),0)</f>
        <v>0</v>
      </c>
      <c r="Q30" s="245">
        <f>+IF('Dimensional Change'!$A$3=A30,IF($L$7=TRUE,F30,D30),0)</f>
        <v>0</v>
      </c>
      <c r="R30" s="245">
        <f>+IF('SG &amp; Density'!$B$9=A30,J30,0)</f>
        <v>0</v>
      </c>
      <c r="S30" s="245">
        <f>+IF('SG &amp; Density'!$B$18=A30,K30,0)</f>
        <v>0</v>
      </c>
      <c r="T30" s="245">
        <f>+IF('SG &amp; Density'!$B$9=A30,G30,0)</f>
        <v>0</v>
      </c>
      <c r="U30" s="245">
        <f>+IF('SG &amp; Density'!$B$18=A30,G30,0)</f>
        <v>0</v>
      </c>
      <c r="V30" s="245">
        <f>+IF('SG &amp; Density'!$B$10=A30,J30,0)</f>
        <v>0</v>
      </c>
      <c r="W30" s="245">
        <f>+IF('SG &amp; Density'!$B$19=A30,K30,0)</f>
        <v>0</v>
      </c>
      <c r="X30" s="245">
        <f>+IF('SG &amp; Density'!$B$10=A30,G30,0)</f>
        <v>0</v>
      </c>
      <c r="Y30" s="245">
        <f>+IF('SG &amp; Density'!$B$19=A30,G30,0)</f>
        <v>0</v>
      </c>
      <c r="Z30" s="10"/>
      <c r="AA30" s="306"/>
      <c r="AB30" s="306"/>
      <c r="AC30" s="306"/>
      <c r="AD30" s="306"/>
      <c r="AE30" s="306"/>
    </row>
    <row r="31" spans="1:31" ht="12.75">
      <c r="A31" s="255">
        <f t="shared" si="0"/>
        <v>23</v>
      </c>
      <c r="B31" s="258" t="s">
        <v>111</v>
      </c>
      <c r="C31" s="259">
        <v>4.9</v>
      </c>
      <c r="D31" s="259">
        <v>8.9</v>
      </c>
      <c r="E31" s="259">
        <v>0.00169</v>
      </c>
      <c r="F31" s="273">
        <v>0.00315</v>
      </c>
      <c r="G31" s="259">
        <v>13.8</v>
      </c>
      <c r="H31" s="259" t="s">
        <v>38</v>
      </c>
      <c r="I31" s="302" t="s">
        <v>38</v>
      </c>
      <c r="J31" s="290">
        <v>0.48</v>
      </c>
      <c r="K31" s="260">
        <v>0.53</v>
      </c>
      <c r="L31" s="245">
        <f>+IF('Dimensional Change'!$A$1=A31,IF($L$7=TRUE,E31,C31),0)</f>
        <v>0</v>
      </c>
      <c r="M31" s="245">
        <f>+IF('Dimensional Change'!$A$1=A31,IF($L$7=TRUE,F31,D31),0)</f>
        <v>0</v>
      </c>
      <c r="N31" s="245">
        <f>+IF('Dimensional Change'!$A$2=A31,IF($L$7=TRUE,E31,C31),0)</f>
        <v>0</v>
      </c>
      <c r="O31" s="245">
        <f>+IF('Dimensional Change'!$A$2=A31,IF($L$7=TRUE,F31,D31),0)</f>
        <v>0</v>
      </c>
      <c r="P31" s="245">
        <f>+IF('Dimensional Change'!$A$3=A31,IF($L$7=TRUE,E31,C31),0)</f>
        <v>0</v>
      </c>
      <c r="Q31" s="245">
        <f>+IF('Dimensional Change'!$A$3=A31,IF($L$7=TRUE,F31,D31),0)</f>
        <v>0</v>
      </c>
      <c r="R31" s="245">
        <f>+IF('SG &amp; Density'!$B$9=A31,J31,0)</f>
        <v>0</v>
      </c>
      <c r="S31" s="245">
        <f>+IF('SG &amp; Density'!$B$18=A31,K31,0)</f>
        <v>0</v>
      </c>
      <c r="T31" s="245">
        <f>+IF('SG &amp; Density'!$B$9=A31,G31,0)</f>
        <v>0</v>
      </c>
      <c r="U31" s="245">
        <f>+IF('SG &amp; Density'!$B$18=A31,G31,0)</f>
        <v>0</v>
      </c>
      <c r="V31" s="245">
        <f>+IF('SG &amp; Density'!$B$10=A31,J31,0)</f>
        <v>0</v>
      </c>
      <c r="W31" s="245">
        <f>+IF('SG &amp; Density'!$B$19=A31,K31,0)</f>
        <v>0</v>
      </c>
      <c r="X31" s="245">
        <f>+IF('SG &amp; Density'!$B$10=A31,G31,0)</f>
        <v>0</v>
      </c>
      <c r="Y31" s="245">
        <f>+IF('SG &amp; Density'!$B$19=A31,G31,0)</f>
        <v>0</v>
      </c>
      <c r="Z31" s="10"/>
      <c r="AA31" s="306"/>
      <c r="AB31" s="306"/>
      <c r="AC31" s="306"/>
      <c r="AD31" s="306"/>
      <c r="AE31" s="306"/>
    </row>
    <row r="32" spans="1:31" ht="12.75">
      <c r="A32" s="255">
        <f t="shared" si="0"/>
        <v>24</v>
      </c>
      <c r="B32" s="258" t="s">
        <v>112</v>
      </c>
      <c r="C32" s="259">
        <v>5.3</v>
      </c>
      <c r="D32" s="259">
        <v>11.6</v>
      </c>
      <c r="E32" s="259">
        <v>0.00183</v>
      </c>
      <c r="F32" s="273">
        <v>0.00419</v>
      </c>
      <c r="G32" s="259">
        <v>17.7</v>
      </c>
      <c r="H32" s="259" t="s">
        <v>38</v>
      </c>
      <c r="I32" s="302" t="s">
        <v>38</v>
      </c>
      <c r="J32" s="290">
        <v>0.6</v>
      </c>
      <c r="K32" s="260">
        <v>0.66</v>
      </c>
      <c r="L32" s="245">
        <f>+IF('Dimensional Change'!$A$1=A32,IF($L$7=TRUE,E32,C32),0)</f>
        <v>0</v>
      </c>
      <c r="M32" s="245">
        <f>+IF('Dimensional Change'!$A$1=A32,IF($L$7=TRUE,F32,D32),0)</f>
        <v>0</v>
      </c>
      <c r="N32" s="245">
        <f>+IF('Dimensional Change'!$A$2=A32,IF($L$7=TRUE,E32,C32),0)</f>
        <v>0</v>
      </c>
      <c r="O32" s="245">
        <f>+IF('Dimensional Change'!$A$2=A32,IF($L$7=TRUE,F32,D32),0)</f>
        <v>0</v>
      </c>
      <c r="P32" s="245">
        <f>+IF('Dimensional Change'!$A$3=A32,IF($L$7=TRUE,E32,C32),0)</f>
        <v>0</v>
      </c>
      <c r="Q32" s="245">
        <f>+IF('Dimensional Change'!$A$3=A32,IF($L$7=TRUE,F32,D32),0)</f>
        <v>0</v>
      </c>
      <c r="R32" s="245">
        <f>+IF('SG &amp; Density'!$B$9=A32,J32,0)</f>
        <v>0</v>
      </c>
      <c r="S32" s="245">
        <f>+IF('SG &amp; Density'!$B$18=A32,K32,0)</f>
        <v>0</v>
      </c>
      <c r="T32" s="245">
        <f>+IF('SG &amp; Density'!$B$9=A32,G32,0)</f>
        <v>0</v>
      </c>
      <c r="U32" s="245">
        <f>+IF('SG &amp; Density'!$B$18=A32,G32,0)</f>
        <v>0</v>
      </c>
      <c r="V32" s="245">
        <f>+IF('SG &amp; Density'!$B$10=A32,J32,0)</f>
        <v>0</v>
      </c>
      <c r="W32" s="245">
        <f>+IF('SG &amp; Density'!$B$19=A32,K32,0)</f>
        <v>0</v>
      </c>
      <c r="X32" s="245">
        <f>+IF('SG &amp; Density'!$B$10=A32,G32,0)</f>
        <v>0</v>
      </c>
      <c r="Y32" s="245">
        <f>+IF('SG &amp; Density'!$B$19=A32,G32,0)</f>
        <v>0</v>
      </c>
      <c r="Z32" s="10"/>
      <c r="AA32" s="306"/>
      <c r="AB32" s="306"/>
      <c r="AC32" s="306"/>
      <c r="AD32" s="306"/>
      <c r="AE32" s="306"/>
    </row>
    <row r="33" spans="1:31" ht="12.75">
      <c r="A33" s="255">
        <f t="shared" si="0"/>
        <v>25</v>
      </c>
      <c r="B33" s="258" t="s">
        <v>20</v>
      </c>
      <c r="C33" s="259">
        <v>4.8</v>
      </c>
      <c r="D33" s="259">
        <v>8.9</v>
      </c>
      <c r="E33" s="259">
        <v>0.00165</v>
      </c>
      <c r="F33" s="273">
        <v>0.00315</v>
      </c>
      <c r="G33" s="259">
        <v>13.8</v>
      </c>
      <c r="H33" s="259">
        <v>61</v>
      </c>
      <c r="I33" s="302">
        <v>65</v>
      </c>
      <c r="J33" s="290">
        <v>0.49</v>
      </c>
      <c r="K33" s="260">
        <v>0.53</v>
      </c>
      <c r="L33" s="245">
        <f>+IF('Dimensional Change'!$A$1=A33,IF($L$7=TRUE,E33,C33),0)</f>
        <v>0</v>
      </c>
      <c r="M33" s="245">
        <f>+IF('Dimensional Change'!$A$1=A33,IF($L$7=TRUE,F33,D33),0)</f>
        <v>0</v>
      </c>
      <c r="N33" s="245">
        <f>+IF('Dimensional Change'!$A$2=A33,IF($L$7=TRUE,E33,C33),0)</f>
        <v>0</v>
      </c>
      <c r="O33" s="245">
        <f>+IF('Dimensional Change'!$A$2=A33,IF($L$7=TRUE,F33,D33),0)</f>
        <v>0</v>
      </c>
      <c r="P33" s="245">
        <f>+IF('Dimensional Change'!$A$3=A33,IF($L$7=TRUE,E33,C33),0)</f>
        <v>0</v>
      </c>
      <c r="Q33" s="245">
        <f>+IF('Dimensional Change'!$A$3=A33,IF($L$7=TRUE,F33,D33),0)</f>
        <v>0</v>
      </c>
      <c r="R33" s="245">
        <f>+IF('SG &amp; Density'!$B$9=A33,J33,0)</f>
        <v>0</v>
      </c>
      <c r="S33" s="245">
        <f>+IF('SG &amp; Density'!$B$18=A33,K33,0)</f>
        <v>0</v>
      </c>
      <c r="T33" s="245">
        <f>+IF('SG &amp; Density'!$B$9=A33,G33,0)</f>
        <v>0</v>
      </c>
      <c r="U33" s="245">
        <f>+IF('SG &amp; Density'!$B$18=A33,G33,0)</f>
        <v>0</v>
      </c>
      <c r="V33" s="245">
        <f>+IF('SG &amp; Density'!$B$10=A33,J33,0)</f>
        <v>0</v>
      </c>
      <c r="W33" s="245">
        <f>+IF('SG &amp; Density'!$B$19=A33,K33,0)</f>
        <v>0</v>
      </c>
      <c r="X33" s="245">
        <f>+IF('SG &amp; Density'!$B$10=A33,G33,0)</f>
        <v>0</v>
      </c>
      <c r="Y33" s="245">
        <f>+IF('SG &amp; Density'!$B$19=A33,G33,0)</f>
        <v>0</v>
      </c>
      <c r="Z33" s="10"/>
      <c r="AA33" s="306"/>
      <c r="AB33" s="306"/>
      <c r="AC33" s="306"/>
      <c r="AD33" s="306"/>
      <c r="AE33" s="306"/>
    </row>
    <row r="34" spans="1:31" ht="12.75">
      <c r="A34" s="255">
        <f t="shared" si="0"/>
        <v>26</v>
      </c>
      <c r="B34" s="258" t="s">
        <v>21</v>
      </c>
      <c r="C34" s="259">
        <v>4.9</v>
      </c>
      <c r="D34" s="259">
        <v>8.9</v>
      </c>
      <c r="E34" s="259">
        <v>0.00169</v>
      </c>
      <c r="F34" s="273">
        <v>0.00315</v>
      </c>
      <c r="G34" s="259">
        <v>13.6</v>
      </c>
      <c r="H34" s="259" t="s">
        <v>38</v>
      </c>
      <c r="I34" s="302" t="s">
        <v>38</v>
      </c>
      <c r="J34" s="290">
        <v>0.6</v>
      </c>
      <c r="K34" s="260">
        <v>0.66</v>
      </c>
      <c r="L34" s="245">
        <f>+IF('Dimensional Change'!$A$1=A34,IF($L$7=TRUE,E34,C34),0)</f>
        <v>0</v>
      </c>
      <c r="M34" s="245">
        <f>+IF('Dimensional Change'!$A$1=A34,IF($L$7=TRUE,F34,D34),0)</f>
        <v>0</v>
      </c>
      <c r="N34" s="245">
        <f>+IF('Dimensional Change'!$A$2=A34,IF($L$7=TRUE,E34,C34),0)</f>
        <v>0</v>
      </c>
      <c r="O34" s="245">
        <f>+IF('Dimensional Change'!$A$2=A34,IF($L$7=TRUE,F34,D34),0)</f>
        <v>0</v>
      </c>
      <c r="P34" s="245">
        <f>+IF('Dimensional Change'!$A$3=A34,IF($L$7=TRUE,E34,C34),0)</f>
        <v>0</v>
      </c>
      <c r="Q34" s="245">
        <f>+IF('Dimensional Change'!$A$3=A34,IF($L$7=TRUE,F34,D34),0)</f>
        <v>0</v>
      </c>
      <c r="R34" s="245">
        <f>+IF('SG &amp; Density'!$B$9=A34,J34,0)</f>
        <v>0</v>
      </c>
      <c r="S34" s="245">
        <f>+IF('SG &amp; Density'!$B$18=A34,K34,0)</f>
        <v>0</v>
      </c>
      <c r="T34" s="245">
        <f>+IF('SG &amp; Density'!$B$9=A34,G34,0)</f>
        <v>0</v>
      </c>
      <c r="U34" s="245">
        <f>+IF('SG &amp; Density'!$B$18=A34,G34,0)</f>
        <v>0</v>
      </c>
      <c r="V34" s="245">
        <f>+IF('SG &amp; Density'!$B$10=A34,J34,0)</f>
        <v>0</v>
      </c>
      <c r="W34" s="245">
        <f>+IF('SG &amp; Density'!$B$19=A34,K34,0)</f>
        <v>0</v>
      </c>
      <c r="X34" s="245">
        <f>+IF('SG &amp; Density'!$B$10=A34,G34,0)</f>
        <v>0</v>
      </c>
      <c r="Y34" s="245">
        <f>+IF('SG &amp; Density'!$B$19=A34,G34,0)</f>
        <v>0</v>
      </c>
      <c r="Z34" s="10"/>
      <c r="AA34" s="306"/>
      <c r="AB34" s="306"/>
      <c r="AC34" s="306"/>
      <c r="AD34" s="306"/>
      <c r="AE34" s="306"/>
    </row>
    <row r="35" spans="1:31" ht="12.75">
      <c r="A35" s="255">
        <f t="shared" si="0"/>
        <v>27</v>
      </c>
      <c r="B35" s="258" t="s">
        <v>113</v>
      </c>
      <c r="C35" s="259">
        <v>7.7</v>
      </c>
      <c r="D35" s="259">
        <v>11</v>
      </c>
      <c r="E35" s="259">
        <v>0.00259</v>
      </c>
      <c r="F35" s="273">
        <v>0.00411</v>
      </c>
      <c r="G35" s="259">
        <v>17.8</v>
      </c>
      <c r="H35" s="259">
        <v>70</v>
      </c>
      <c r="I35" s="302">
        <v>52</v>
      </c>
      <c r="J35" s="290">
        <v>0.64</v>
      </c>
      <c r="K35" s="260">
        <v>0.72</v>
      </c>
      <c r="L35" s="245">
        <f>+IF('Dimensional Change'!$A$1=A35,IF($L$7=TRUE,E35,C35),0)</f>
        <v>0</v>
      </c>
      <c r="M35" s="245">
        <f>+IF('Dimensional Change'!$A$1=A35,IF($L$7=TRUE,F35,D35),0)</f>
        <v>0</v>
      </c>
      <c r="N35" s="245">
        <f>+IF('Dimensional Change'!$A$2=A35,IF($L$7=TRUE,E35,C35),0)</f>
        <v>0</v>
      </c>
      <c r="O35" s="245">
        <f>+IF('Dimensional Change'!$A$2=A35,IF($L$7=TRUE,F35,D35),0)</f>
        <v>0</v>
      </c>
      <c r="P35" s="245">
        <f>+IF('Dimensional Change'!$A$3=A35,IF($L$7=TRUE,E35,C35),0)</f>
        <v>0</v>
      </c>
      <c r="Q35" s="245">
        <f>+IF('Dimensional Change'!$A$3=A35,IF($L$7=TRUE,F35,D35),0)</f>
        <v>0</v>
      </c>
      <c r="R35" s="245">
        <f>+IF('SG &amp; Density'!$B$9=A35,J35,0)</f>
        <v>0</v>
      </c>
      <c r="S35" s="245">
        <f>+IF('SG &amp; Density'!$B$18=A35,K35,0)</f>
        <v>0</v>
      </c>
      <c r="T35" s="245">
        <f>+IF('SG &amp; Density'!$B$9=A35,G35,0)</f>
        <v>0</v>
      </c>
      <c r="U35" s="245">
        <f>+IF('SG &amp; Density'!$B$18=A35,G35,0)</f>
        <v>0</v>
      </c>
      <c r="V35" s="245">
        <f>+IF('SG &amp; Density'!$B$10=A35,J35,0)</f>
        <v>0</v>
      </c>
      <c r="W35" s="245">
        <f>+IF('SG &amp; Density'!$B$19=A35,K35,0)</f>
        <v>0</v>
      </c>
      <c r="X35" s="245">
        <f>+IF('SG &amp; Density'!$B$10=A35,G35,0)</f>
        <v>0</v>
      </c>
      <c r="Y35" s="245">
        <f>+IF('SG &amp; Density'!$B$19=A35,G35,0)</f>
        <v>0</v>
      </c>
      <c r="Z35" s="10"/>
      <c r="AA35" s="306"/>
      <c r="AB35" s="306"/>
      <c r="AC35" s="306"/>
      <c r="AD35" s="306"/>
      <c r="AE35" s="306"/>
    </row>
    <row r="36" spans="1:31" ht="12.75">
      <c r="A36" s="255">
        <f t="shared" si="0"/>
        <v>28</v>
      </c>
      <c r="B36" s="258" t="s">
        <v>114</v>
      </c>
      <c r="C36" s="259">
        <v>7.2</v>
      </c>
      <c r="D36" s="259">
        <v>11.5</v>
      </c>
      <c r="E36" s="259">
        <v>0.00259</v>
      </c>
      <c r="F36" s="273">
        <v>0.00411</v>
      </c>
      <c r="G36" s="259">
        <v>17.9</v>
      </c>
      <c r="H36" s="259">
        <v>71</v>
      </c>
      <c r="I36" s="302">
        <v>49</v>
      </c>
      <c r="J36" s="290">
        <v>0.66</v>
      </c>
      <c r="K36" s="260">
        <v>0.75</v>
      </c>
      <c r="L36" s="245">
        <f>+IF('Dimensional Change'!$A$1=A36,IF($L$7=TRUE,E36,C36),0)</f>
        <v>0</v>
      </c>
      <c r="M36" s="245">
        <f>+IF('Dimensional Change'!$A$1=A36,IF($L$7=TRUE,F36,D36),0)</f>
        <v>0</v>
      </c>
      <c r="N36" s="245">
        <f>+IF('Dimensional Change'!$A$2=A36,IF($L$7=TRUE,E36,C36),0)</f>
        <v>0</v>
      </c>
      <c r="O36" s="245">
        <f>+IF('Dimensional Change'!$A$2=A36,IF($L$7=TRUE,F36,D36),0)</f>
        <v>0</v>
      </c>
      <c r="P36" s="245">
        <f>+IF('Dimensional Change'!$A$3=A36,IF($L$7=TRUE,E36,C36),0)</f>
        <v>0</v>
      </c>
      <c r="Q36" s="245">
        <f>+IF('Dimensional Change'!$A$3=A36,IF($L$7=TRUE,F36,D36),0)</f>
        <v>0</v>
      </c>
      <c r="R36" s="245">
        <f>+IF('SG &amp; Density'!$B$9=A36,J36,0)</f>
        <v>0</v>
      </c>
      <c r="S36" s="245">
        <f>+IF('SG &amp; Density'!$B$18=A36,K36,0)</f>
        <v>0</v>
      </c>
      <c r="T36" s="245">
        <f>+IF('SG &amp; Density'!$B$9=A36,G36,0)</f>
        <v>0</v>
      </c>
      <c r="U36" s="245">
        <f>+IF('SG &amp; Density'!$B$18=A36,G36,0)</f>
        <v>0</v>
      </c>
      <c r="V36" s="245">
        <f>+IF('SG &amp; Density'!$B$10=A36,J36,0)</f>
        <v>0</v>
      </c>
      <c r="W36" s="245">
        <f>+IF('SG &amp; Density'!$B$19=A36,K36,0)</f>
        <v>0</v>
      </c>
      <c r="X36" s="245">
        <f>+IF('SG &amp; Density'!$B$10=A36,G36,0)</f>
        <v>0</v>
      </c>
      <c r="Y36" s="245">
        <f>+IF('SG &amp; Density'!$B$19=A36,G36,0)</f>
        <v>0</v>
      </c>
      <c r="Z36" s="10"/>
      <c r="AA36" s="306"/>
      <c r="AB36" s="306"/>
      <c r="AC36" s="306"/>
      <c r="AD36" s="306"/>
      <c r="AE36" s="306"/>
    </row>
    <row r="37" spans="1:31" ht="12.75">
      <c r="A37" s="255">
        <f t="shared" si="0"/>
        <v>29</v>
      </c>
      <c r="B37" s="258" t="s">
        <v>115</v>
      </c>
      <c r="C37" s="259">
        <v>7</v>
      </c>
      <c r="D37" s="259">
        <v>10.5</v>
      </c>
      <c r="E37" s="259">
        <v>0.00259</v>
      </c>
      <c r="F37" s="273">
        <v>0.00411</v>
      </c>
      <c r="G37" s="259">
        <v>16.7</v>
      </c>
      <c r="H37" s="259" t="s">
        <v>38</v>
      </c>
      <c r="I37" s="302" t="s">
        <v>38</v>
      </c>
      <c r="J37" s="290">
        <v>0.64</v>
      </c>
      <c r="K37" s="260">
        <v>0.72</v>
      </c>
      <c r="L37" s="245">
        <f>+IF('Dimensional Change'!$A$1=A37,IF($L$7=TRUE,E37,C37),0)</f>
        <v>0</v>
      </c>
      <c r="M37" s="245">
        <f>+IF('Dimensional Change'!$A$1=A37,IF($L$7=TRUE,F37,D37),0)</f>
        <v>0</v>
      </c>
      <c r="N37" s="245">
        <f>+IF('Dimensional Change'!$A$2=A37,IF($L$7=TRUE,E37,C37),0)</f>
        <v>0</v>
      </c>
      <c r="O37" s="245">
        <f>+IF('Dimensional Change'!$A$2=A37,IF($L$7=TRUE,F37,D37),0)</f>
        <v>0</v>
      </c>
      <c r="P37" s="245">
        <f>+IF('Dimensional Change'!$A$3=A37,IF($L$7=TRUE,E37,C37),0)</f>
        <v>0</v>
      </c>
      <c r="Q37" s="245">
        <f>+IF('Dimensional Change'!$A$3=A37,IF($L$7=TRUE,F37,D37),0)</f>
        <v>0</v>
      </c>
      <c r="R37" s="245">
        <f>+IF('SG &amp; Density'!$B$9=A37,J37,0)</f>
        <v>0</v>
      </c>
      <c r="S37" s="245">
        <f>+IF('SG &amp; Density'!$B$18=A37,K37,0)</f>
        <v>0</v>
      </c>
      <c r="T37" s="245">
        <f>+IF('SG &amp; Density'!$B$9=A37,G37,0)</f>
        <v>0</v>
      </c>
      <c r="U37" s="245">
        <f>+IF('SG &amp; Density'!$B$18=A37,G37,0)</f>
        <v>0</v>
      </c>
      <c r="V37" s="245">
        <f>+IF('SG &amp; Density'!$B$10=A37,J37,0)</f>
        <v>0</v>
      </c>
      <c r="W37" s="245">
        <f>+IF('SG &amp; Density'!$B$19=A37,K37,0)</f>
        <v>0</v>
      </c>
      <c r="X37" s="245">
        <f>+IF('SG &amp; Density'!$B$10=A37,G37,0)</f>
        <v>0</v>
      </c>
      <c r="Y37" s="245">
        <f>+IF('SG &amp; Density'!$B$19=A37,G37,0)</f>
        <v>0</v>
      </c>
      <c r="Z37" s="10"/>
      <c r="AA37" s="306"/>
      <c r="AB37" s="306"/>
      <c r="AC37" s="306"/>
      <c r="AD37" s="306"/>
      <c r="AE37" s="306"/>
    </row>
    <row r="38" spans="1:31" ht="12.75">
      <c r="A38" s="255">
        <f t="shared" si="0"/>
        <v>30</v>
      </c>
      <c r="B38" s="258" t="s">
        <v>116</v>
      </c>
      <c r="C38" s="259">
        <v>7.6</v>
      </c>
      <c r="D38" s="259">
        <v>12.6</v>
      </c>
      <c r="E38" s="259">
        <v>0.00259</v>
      </c>
      <c r="F38" s="273">
        <v>0.00411</v>
      </c>
      <c r="G38" s="259">
        <v>19.2</v>
      </c>
      <c r="H38" s="259" t="s">
        <v>38</v>
      </c>
      <c r="I38" s="302" t="s">
        <v>38</v>
      </c>
      <c r="J38" s="290">
        <v>0.62</v>
      </c>
      <c r="K38" s="260">
        <v>0.69</v>
      </c>
      <c r="L38" s="245">
        <f>+IF('Dimensional Change'!$A$1=A38,IF($L$7=TRUE,E38,C38),0)</f>
        <v>0</v>
      </c>
      <c r="M38" s="245">
        <f>+IF('Dimensional Change'!$A$1=A38,IF($L$7=TRUE,F38,D38),0)</f>
        <v>0</v>
      </c>
      <c r="N38" s="245">
        <f>+IF('Dimensional Change'!$A$2=A38,IF($L$7=TRUE,E38,C38),0)</f>
        <v>0</v>
      </c>
      <c r="O38" s="245">
        <f>+IF('Dimensional Change'!$A$2=A38,IF($L$7=TRUE,F38,D38),0)</f>
        <v>0</v>
      </c>
      <c r="P38" s="245">
        <f>+IF('Dimensional Change'!$A$3=A38,IF($L$7=TRUE,E38,C38),0)</f>
        <v>0</v>
      </c>
      <c r="Q38" s="245">
        <f>+IF('Dimensional Change'!$A$3=A38,IF($L$7=TRUE,F38,D38),0)</f>
        <v>0</v>
      </c>
      <c r="R38" s="245">
        <f>+IF('SG &amp; Density'!$B$9=A38,J38,0)</f>
        <v>0</v>
      </c>
      <c r="S38" s="245">
        <f>+IF('SG &amp; Density'!$B$18=A38,K38,0)</f>
        <v>0</v>
      </c>
      <c r="T38" s="245">
        <f>+IF('SG &amp; Density'!$B$9=A38,G38,0)</f>
        <v>0</v>
      </c>
      <c r="U38" s="245">
        <f>+IF('SG &amp; Density'!$B$18=A38,G38,0)</f>
        <v>0</v>
      </c>
      <c r="V38" s="245">
        <f>+IF('SG &amp; Density'!$B$10=A38,J38,0)</f>
        <v>0</v>
      </c>
      <c r="W38" s="245">
        <f>+IF('SG &amp; Density'!$B$19=A38,K38,0)</f>
        <v>0</v>
      </c>
      <c r="X38" s="245">
        <f>+IF('SG &amp; Density'!$B$10=A38,G38,0)</f>
        <v>0</v>
      </c>
      <c r="Y38" s="245">
        <f>+IF('SG &amp; Density'!$B$19=A38,G38,0)</f>
        <v>0</v>
      </c>
      <c r="Z38" s="10"/>
      <c r="AA38" s="306"/>
      <c r="AB38" s="306"/>
      <c r="AC38" s="306"/>
      <c r="AD38" s="306"/>
      <c r="AE38" s="306"/>
    </row>
    <row r="39" spans="1:31" ht="12.75">
      <c r="A39" s="255">
        <f t="shared" si="0"/>
        <v>31</v>
      </c>
      <c r="B39" s="258" t="s">
        <v>22</v>
      </c>
      <c r="C39" s="259">
        <v>4.8</v>
      </c>
      <c r="D39" s="259">
        <v>9.9</v>
      </c>
      <c r="E39" s="259">
        <v>0.00165</v>
      </c>
      <c r="F39" s="273">
        <v>0.00353</v>
      </c>
      <c r="G39" s="259">
        <v>16.9</v>
      </c>
      <c r="H39" s="259" t="s">
        <v>38</v>
      </c>
      <c r="I39" s="302" t="s">
        <v>38</v>
      </c>
      <c r="J39" s="290">
        <v>0.5</v>
      </c>
      <c r="K39" s="260">
        <v>0.57</v>
      </c>
      <c r="L39" s="245">
        <f>+IF('Dimensional Change'!$A$1=A39,IF($L$7=TRUE,E39,C39),0)</f>
        <v>0</v>
      </c>
      <c r="M39" s="245">
        <f>+IF('Dimensional Change'!$A$1=A39,IF($L$7=TRUE,F39,D39),0)</f>
        <v>0</v>
      </c>
      <c r="N39" s="245">
        <f>+IF('Dimensional Change'!$A$2=A39,IF($L$7=TRUE,E39,C39),0)</f>
        <v>0</v>
      </c>
      <c r="O39" s="245">
        <f>+IF('Dimensional Change'!$A$2=A39,IF($L$7=TRUE,F39,D39),0)</f>
        <v>0</v>
      </c>
      <c r="P39" s="245">
        <f>+IF('Dimensional Change'!$A$3=A39,IF($L$7=TRUE,E39,C39),0)</f>
        <v>0</v>
      </c>
      <c r="Q39" s="245">
        <f>+IF('Dimensional Change'!$A$3=A39,IF($L$7=TRUE,F39,D39),0)</f>
        <v>0</v>
      </c>
      <c r="R39" s="245">
        <f>+IF('SG &amp; Density'!$B$9=A39,J39,0)</f>
        <v>0</v>
      </c>
      <c r="S39" s="245">
        <f>+IF('SG &amp; Density'!$B$18=A39,K39,0)</f>
        <v>0</v>
      </c>
      <c r="T39" s="245">
        <f>+IF('SG &amp; Density'!$B$9=A39,G39,0)</f>
        <v>0</v>
      </c>
      <c r="U39" s="245">
        <f>+IF('SG &amp; Density'!$B$18=A39,G39,0)</f>
        <v>0</v>
      </c>
      <c r="V39" s="245">
        <f>+IF('SG &amp; Density'!$B$10=A39,J39,0)</f>
        <v>0</v>
      </c>
      <c r="W39" s="245">
        <f>+IF('SG &amp; Density'!$B$19=A39,K39,0)</f>
        <v>0</v>
      </c>
      <c r="X39" s="245">
        <f>+IF('SG &amp; Density'!$B$10=A39,G39,0)</f>
        <v>0</v>
      </c>
      <c r="Y39" s="245">
        <f>+IF('SG &amp; Density'!$B$19=A39,G39,0)</f>
        <v>0</v>
      </c>
      <c r="Z39" s="10"/>
      <c r="AA39" s="306"/>
      <c r="AB39" s="306"/>
      <c r="AC39" s="306"/>
      <c r="AD39" s="306"/>
      <c r="AE39" s="306"/>
    </row>
    <row r="40" spans="1:31" ht="12.75">
      <c r="A40" s="255">
        <f t="shared" si="0"/>
        <v>32</v>
      </c>
      <c r="B40" s="258" t="s">
        <v>23</v>
      </c>
      <c r="C40" s="259">
        <v>4.2</v>
      </c>
      <c r="D40" s="259">
        <v>6.6</v>
      </c>
      <c r="E40" s="259">
        <v>0.00144</v>
      </c>
      <c r="F40" s="273">
        <v>0.0023</v>
      </c>
      <c r="G40" s="259">
        <v>10.8</v>
      </c>
      <c r="H40" s="259" t="s">
        <v>38</v>
      </c>
      <c r="I40" s="302" t="s">
        <v>38</v>
      </c>
      <c r="J40" s="290">
        <v>0.6</v>
      </c>
      <c r="K40" s="260" t="s">
        <v>38</v>
      </c>
      <c r="L40" s="245">
        <f>+IF('Dimensional Change'!$A$1=A40,IF($L$7=TRUE,E40,C40),0)</f>
        <v>0</v>
      </c>
      <c r="M40" s="245">
        <f>+IF('Dimensional Change'!$A$1=A40,IF($L$7=TRUE,F40,D40),0)</f>
        <v>0</v>
      </c>
      <c r="N40" s="245">
        <f>+IF('Dimensional Change'!$A$2=A40,IF($L$7=TRUE,E40,C40),0)</f>
        <v>0</v>
      </c>
      <c r="O40" s="245">
        <f>+IF('Dimensional Change'!$A$2=A40,IF($L$7=TRUE,F40,D40),0)</f>
        <v>0</v>
      </c>
      <c r="P40" s="245">
        <f>+IF('Dimensional Change'!$A$3=A40,IF($L$7=TRUE,E40,C40),0)</f>
        <v>0</v>
      </c>
      <c r="Q40" s="245">
        <f>+IF('Dimensional Change'!$A$3=A40,IF($L$7=TRUE,F40,D40),0)</f>
        <v>0</v>
      </c>
      <c r="R40" s="245">
        <f>+IF('SG &amp; Density'!$B$9=A40,J40,0)</f>
        <v>0</v>
      </c>
      <c r="S40" s="245">
        <f>+IF('SG &amp; Density'!$B$18=A40,K40,0)</f>
        <v>0</v>
      </c>
      <c r="T40" s="245">
        <f>+IF('SG &amp; Density'!$B$9=A40,G40,0)</f>
        <v>0</v>
      </c>
      <c r="U40" s="245">
        <f>+IF('SG &amp; Density'!$B$18=A40,G40,0)</f>
        <v>0</v>
      </c>
      <c r="V40" s="245">
        <f>+IF('SG &amp; Density'!$B$10=A40,J40,0)</f>
        <v>0</v>
      </c>
      <c r="W40" s="245">
        <f>+IF('SG &amp; Density'!$B$19=A40,K40,0)</f>
        <v>0</v>
      </c>
      <c r="X40" s="245">
        <f>+IF('SG &amp; Density'!$B$10=A40,G40,0)</f>
        <v>0</v>
      </c>
      <c r="Y40" s="245">
        <f>+IF('SG &amp; Density'!$B$19=A40,G40,0)</f>
        <v>0</v>
      </c>
      <c r="Z40" s="10"/>
      <c r="AA40" s="306"/>
      <c r="AB40" s="306"/>
      <c r="AC40" s="306"/>
      <c r="AD40" s="306"/>
      <c r="AE40" s="306"/>
    </row>
    <row r="41" spans="1:31" ht="12.75">
      <c r="A41" s="255">
        <f t="shared" si="0"/>
        <v>33</v>
      </c>
      <c r="B41" s="258" t="s">
        <v>24</v>
      </c>
      <c r="C41" s="259">
        <v>4.6</v>
      </c>
      <c r="D41" s="259">
        <v>7.2</v>
      </c>
      <c r="E41" s="259">
        <v>0.00158</v>
      </c>
      <c r="F41" s="273">
        <v>0.00252</v>
      </c>
      <c r="G41" s="259">
        <v>10.2</v>
      </c>
      <c r="H41" s="259" t="s">
        <v>38</v>
      </c>
      <c r="I41" s="302" t="s">
        <v>38</v>
      </c>
      <c r="J41" s="290">
        <v>0.66</v>
      </c>
      <c r="K41" s="260">
        <v>0.69</v>
      </c>
      <c r="L41" s="245">
        <f>+IF('Dimensional Change'!$A$1=A41,IF($L$7=TRUE,E41,C41),0)</f>
        <v>0</v>
      </c>
      <c r="M41" s="245">
        <f>+IF('Dimensional Change'!$A$1=A41,IF($L$7=TRUE,F41,D41),0)</f>
        <v>0</v>
      </c>
      <c r="N41" s="245">
        <f>+IF('Dimensional Change'!$A$2=A41,IF($L$7=TRUE,E41,C41),0)</f>
        <v>0</v>
      </c>
      <c r="O41" s="245">
        <f>+IF('Dimensional Change'!$A$2=A41,IF($L$7=TRUE,F41,D41),0)</f>
        <v>0</v>
      </c>
      <c r="P41" s="245">
        <f>+IF('Dimensional Change'!$A$3=A41,IF($L$7=TRUE,E41,C41),0)</f>
        <v>0</v>
      </c>
      <c r="Q41" s="245">
        <f>+IF('Dimensional Change'!$A$3=A41,IF($L$7=TRUE,F41,D41),0)</f>
        <v>0</v>
      </c>
      <c r="R41" s="245">
        <f>+IF('SG &amp; Density'!$B$9=A41,J41,0)</f>
        <v>0</v>
      </c>
      <c r="S41" s="245">
        <f>+IF('SG &amp; Density'!$B$18=A41,K41,0)</f>
        <v>0</v>
      </c>
      <c r="T41" s="245">
        <f>+IF('SG &amp; Density'!$B$9=A41,G41,0)</f>
        <v>0</v>
      </c>
      <c r="U41" s="245">
        <f>+IF('SG &amp; Density'!$B$18=A41,G41,0)</f>
        <v>0</v>
      </c>
      <c r="V41" s="245">
        <f>+IF('SG &amp; Density'!$B$10=A41,J41,0)</f>
        <v>0</v>
      </c>
      <c r="W41" s="245">
        <f>+IF('SG &amp; Density'!$B$19=A41,K41,0)</f>
        <v>0</v>
      </c>
      <c r="X41" s="245">
        <f>+IF('SG &amp; Density'!$B$10=A41,G41,0)</f>
        <v>0</v>
      </c>
      <c r="Y41" s="245">
        <f>+IF('SG &amp; Density'!$B$19=A41,G41,0)</f>
        <v>0</v>
      </c>
      <c r="Z41" s="10"/>
      <c r="AA41" s="306"/>
      <c r="AB41" s="306"/>
      <c r="AC41" s="306"/>
      <c r="AD41" s="306"/>
      <c r="AE41" s="306"/>
    </row>
    <row r="42" spans="1:31" ht="12.75">
      <c r="A42" s="255">
        <f t="shared" si="0"/>
        <v>34</v>
      </c>
      <c r="B42" s="258" t="s">
        <v>25</v>
      </c>
      <c r="C42" s="259">
        <v>5.6</v>
      </c>
      <c r="D42" s="259">
        <v>12.4</v>
      </c>
      <c r="E42" s="259">
        <v>0.00194</v>
      </c>
      <c r="F42" s="273">
        <v>0.00451</v>
      </c>
      <c r="G42" s="259">
        <v>18.1</v>
      </c>
      <c r="H42" s="259" t="s">
        <v>38</v>
      </c>
      <c r="I42" s="302" t="s">
        <v>38</v>
      </c>
      <c r="J42" s="290">
        <v>0.58</v>
      </c>
      <c r="K42" s="260">
        <v>0.65</v>
      </c>
      <c r="L42" s="245">
        <f>+IF('Dimensional Change'!$A$1=A42,IF($L$7=TRUE,E42,C42),0)</f>
        <v>0</v>
      </c>
      <c r="M42" s="245">
        <f>+IF('Dimensional Change'!$A$1=A42,IF($L$7=TRUE,F42,D42),0)</f>
        <v>0</v>
      </c>
      <c r="N42" s="245">
        <f>+IF('Dimensional Change'!$A$2=A42,IF($L$7=TRUE,E42,C42),0)</f>
        <v>0</v>
      </c>
      <c r="O42" s="245">
        <f>+IF('Dimensional Change'!$A$2=A42,IF($L$7=TRUE,F42,D42),0)</f>
        <v>0</v>
      </c>
      <c r="P42" s="245">
        <f>+IF('Dimensional Change'!$A$3=A42,IF($L$7=TRUE,E42,C42),0)</f>
        <v>0</v>
      </c>
      <c r="Q42" s="245">
        <f>+IF('Dimensional Change'!$A$3=A42,IF($L$7=TRUE,F42,D42),0)</f>
        <v>0</v>
      </c>
      <c r="R42" s="245">
        <f>+IF('SG &amp; Density'!$B$9=A42,J42,0)</f>
        <v>0</v>
      </c>
      <c r="S42" s="245">
        <f>+IF('SG &amp; Density'!$B$18=A42,K42,0)</f>
        <v>0</v>
      </c>
      <c r="T42" s="245">
        <f>+IF('SG &amp; Density'!$B$9=A42,G42,0)</f>
        <v>0</v>
      </c>
      <c r="U42" s="245">
        <f>+IF('SG &amp; Density'!$B$18=A42,G42,0)</f>
        <v>0</v>
      </c>
      <c r="V42" s="245">
        <f>+IF('SG &amp; Density'!$B$10=A42,J42,0)</f>
        <v>0</v>
      </c>
      <c r="W42" s="245">
        <f>+IF('SG &amp; Density'!$B$19=A42,K42,0)</f>
        <v>0</v>
      </c>
      <c r="X42" s="245">
        <f>+IF('SG &amp; Density'!$B$10=A42,G42,0)</f>
        <v>0</v>
      </c>
      <c r="Y42" s="245">
        <f>+IF('SG &amp; Density'!$B$19=A42,G42,0)</f>
        <v>0</v>
      </c>
      <c r="Z42" s="10"/>
      <c r="AA42" s="306"/>
      <c r="AB42" s="306"/>
      <c r="AC42" s="306"/>
      <c r="AD42" s="306"/>
      <c r="AE42" s="306"/>
    </row>
    <row r="43" spans="1:31" ht="12.75">
      <c r="A43" s="255">
        <f t="shared" si="0"/>
        <v>35</v>
      </c>
      <c r="B43" s="258" t="s">
        <v>117</v>
      </c>
      <c r="C43" s="259">
        <v>5.2</v>
      </c>
      <c r="D43" s="259">
        <v>8.8</v>
      </c>
      <c r="E43" s="259">
        <v>0.0018</v>
      </c>
      <c r="F43" s="273">
        <v>0.00312</v>
      </c>
      <c r="G43" s="259">
        <v>13.6</v>
      </c>
      <c r="H43" s="259" t="s">
        <v>38</v>
      </c>
      <c r="I43" s="302" t="s">
        <v>38</v>
      </c>
      <c r="J43" s="290">
        <v>0.44</v>
      </c>
      <c r="K43" s="260">
        <v>0.48</v>
      </c>
      <c r="L43" s="245">
        <f>+IF('Dimensional Change'!$A$1=A43,IF($L$7=TRUE,E43,C43),0)</f>
        <v>0</v>
      </c>
      <c r="M43" s="245">
        <f>+IF('Dimensional Change'!$A$1=A43,IF($L$7=TRUE,F43,D43),0)</f>
        <v>0</v>
      </c>
      <c r="N43" s="245">
        <f>+IF('Dimensional Change'!$A$2=A43,IF($L$7=TRUE,E43,C43),0)</f>
        <v>0</v>
      </c>
      <c r="O43" s="245">
        <f>+IF('Dimensional Change'!$A$2=A43,IF($L$7=TRUE,F43,D43),0)</f>
        <v>0</v>
      </c>
      <c r="P43" s="245">
        <f>+IF('Dimensional Change'!$A$3=A43,IF($L$7=TRUE,E43,C43),0)</f>
        <v>0</v>
      </c>
      <c r="Q43" s="245">
        <f>+IF('Dimensional Change'!$A$3=A43,IF($L$7=TRUE,F43,D43),0)</f>
        <v>0</v>
      </c>
      <c r="R43" s="245">
        <f>+IF('SG &amp; Density'!$B$9=A43,J43,0)</f>
        <v>0</v>
      </c>
      <c r="S43" s="245">
        <f>+IF('SG &amp; Density'!$B$18=A43,K43,0)</f>
        <v>0</v>
      </c>
      <c r="T43" s="245">
        <f>+IF('SG &amp; Density'!$B$9=A43,G43,0)</f>
        <v>0</v>
      </c>
      <c r="U43" s="245">
        <f>+IF('SG &amp; Density'!$B$18=A43,G43,0)</f>
        <v>0</v>
      </c>
      <c r="V43" s="245">
        <f>+IF('SG &amp; Density'!$B$10=A43,J43,0)</f>
        <v>0</v>
      </c>
      <c r="W43" s="245">
        <f>+IF('SG &amp; Density'!$B$19=A43,K43,0)</f>
        <v>0</v>
      </c>
      <c r="X43" s="245">
        <f>+IF('SG &amp; Density'!$B$10=A43,G43,0)</f>
        <v>0</v>
      </c>
      <c r="Y43" s="245">
        <f>+IF('SG &amp; Density'!$B$19=A43,G43,0)</f>
        <v>0</v>
      </c>
      <c r="Z43" s="10"/>
      <c r="AA43" s="306"/>
      <c r="AB43" s="306"/>
      <c r="AC43" s="306"/>
      <c r="AD43" s="306"/>
      <c r="AE43" s="306"/>
    </row>
    <row r="44" spans="1:31" ht="12.75">
      <c r="A44" s="255">
        <f t="shared" si="0"/>
        <v>36</v>
      </c>
      <c r="B44" s="258" t="s">
        <v>118</v>
      </c>
      <c r="C44" s="259">
        <v>5.4</v>
      </c>
      <c r="D44" s="259">
        <v>6.6</v>
      </c>
      <c r="E44" s="259">
        <v>0.00187</v>
      </c>
      <c r="F44" s="273">
        <v>0.0023</v>
      </c>
      <c r="G44" s="259">
        <v>12.3</v>
      </c>
      <c r="H44" s="259" t="s">
        <v>38</v>
      </c>
      <c r="I44" s="302" t="s">
        <v>38</v>
      </c>
      <c r="J44" s="290">
        <v>0.46</v>
      </c>
      <c r="K44" s="260">
        <v>0.5</v>
      </c>
      <c r="L44" s="245">
        <f>+IF('Dimensional Change'!$A$1=A44,IF($L$7=TRUE,E44,C44),0)</f>
        <v>0</v>
      </c>
      <c r="M44" s="245">
        <f>+IF('Dimensional Change'!$A$1=A44,IF($L$7=TRUE,F44,D44),0)</f>
        <v>0</v>
      </c>
      <c r="N44" s="245">
        <f>+IF('Dimensional Change'!$A$2=A44,IF($L$7=TRUE,E44,C44),0)</f>
        <v>0</v>
      </c>
      <c r="O44" s="245">
        <f>+IF('Dimensional Change'!$A$2=A44,IF($L$7=TRUE,F44,D44),0)</f>
        <v>0</v>
      </c>
      <c r="P44" s="245">
        <f>+IF('Dimensional Change'!$A$3=A44,IF($L$7=TRUE,E44,C44),0)</f>
        <v>0</v>
      </c>
      <c r="Q44" s="245">
        <f>+IF('Dimensional Change'!$A$3=A44,IF($L$7=TRUE,F44,D44),0)</f>
        <v>0</v>
      </c>
      <c r="R44" s="245">
        <f>+IF('SG &amp; Density'!$B$9=A44,J44,0)</f>
        <v>0</v>
      </c>
      <c r="S44" s="245">
        <f>+IF('SG &amp; Density'!$B$18=A44,K44,0)</f>
        <v>0</v>
      </c>
      <c r="T44" s="245">
        <f>+IF('SG &amp; Density'!$B$9=A44,G44,0)</f>
        <v>0</v>
      </c>
      <c r="U44" s="245">
        <f>+IF('SG &amp; Density'!$B$18=A44,G44,0)</f>
        <v>0</v>
      </c>
      <c r="V44" s="245">
        <f>+IF('SG &amp; Density'!$B$10=A44,J44,0)</f>
        <v>0</v>
      </c>
      <c r="W44" s="245">
        <f>+IF('SG &amp; Density'!$B$19=A44,K44,0)</f>
        <v>0</v>
      </c>
      <c r="X44" s="245">
        <f>+IF('SG &amp; Density'!$B$10=A44,G44,0)</f>
        <v>0</v>
      </c>
      <c r="Y44" s="245">
        <f>+IF('SG &amp; Density'!$B$19=A44,G44,0)</f>
        <v>0</v>
      </c>
      <c r="Z44" s="10"/>
      <c r="AA44" s="306"/>
      <c r="AB44" s="306"/>
      <c r="AC44" s="306"/>
      <c r="AD44" s="306"/>
      <c r="AE44" s="306"/>
    </row>
    <row r="45" spans="1:31" ht="12.75">
      <c r="A45" s="255">
        <f t="shared" si="0"/>
        <v>37</v>
      </c>
      <c r="B45" s="258" t="s">
        <v>119</v>
      </c>
      <c r="C45" s="259">
        <v>4.7</v>
      </c>
      <c r="D45" s="259">
        <v>8.3</v>
      </c>
      <c r="E45" s="259">
        <v>0.00162</v>
      </c>
      <c r="F45" s="273">
        <v>0.00293</v>
      </c>
      <c r="G45" s="259">
        <v>12.9</v>
      </c>
      <c r="H45" s="259" t="s">
        <v>38</v>
      </c>
      <c r="I45" s="302" t="s">
        <v>38</v>
      </c>
      <c r="J45" s="290">
        <v>0.42</v>
      </c>
      <c r="K45" s="260" t="s">
        <v>38</v>
      </c>
      <c r="L45" s="245">
        <f>+IF('Dimensional Change'!$A$1=A45,IF($L$7=TRUE,E45,C45),0)</f>
        <v>0</v>
      </c>
      <c r="M45" s="245">
        <f>+IF('Dimensional Change'!$A$1=A45,IF($L$7=TRUE,F45,D45),0)</f>
        <v>0</v>
      </c>
      <c r="N45" s="245">
        <f>+IF('Dimensional Change'!$A$2=A45,IF($L$7=TRUE,E45,C45),0)</f>
        <v>0</v>
      </c>
      <c r="O45" s="245">
        <f>+IF('Dimensional Change'!$A$2=A45,IF($L$7=TRUE,F45,D45),0)</f>
        <v>0</v>
      </c>
      <c r="P45" s="245">
        <f>+IF('Dimensional Change'!$A$3=A45,IF($L$7=TRUE,E45,C45),0)</f>
        <v>0</v>
      </c>
      <c r="Q45" s="245">
        <f>+IF('Dimensional Change'!$A$3=A45,IF($L$7=TRUE,F45,D45),0)</f>
        <v>0</v>
      </c>
      <c r="R45" s="245">
        <f>+IF('SG &amp; Density'!$B$9=A45,J45,0)</f>
        <v>0</v>
      </c>
      <c r="S45" s="245">
        <f>+IF('SG &amp; Density'!$B$18=A45,K45,0)</f>
        <v>0</v>
      </c>
      <c r="T45" s="245">
        <f>+IF('SG &amp; Density'!$B$9=A45,G45,0)</f>
        <v>0</v>
      </c>
      <c r="U45" s="245">
        <f>+IF('SG &amp; Density'!$B$18=A45,G45,0)</f>
        <v>0</v>
      </c>
      <c r="V45" s="245">
        <f>+IF('SG &amp; Density'!$B$10=A45,J45,0)</f>
        <v>0</v>
      </c>
      <c r="W45" s="245">
        <f>+IF('SG &amp; Density'!$B$19=A45,K45,0)</f>
        <v>0</v>
      </c>
      <c r="X45" s="245">
        <f>+IF('SG &amp; Density'!$B$10=A45,G45,0)</f>
        <v>0</v>
      </c>
      <c r="Y45" s="245">
        <f>+IF('SG &amp; Density'!$B$19=A45,G45,0)</f>
        <v>0</v>
      </c>
      <c r="Z45" s="10"/>
      <c r="AA45" s="306"/>
      <c r="AB45" s="306"/>
      <c r="AC45" s="306"/>
      <c r="AD45" s="306"/>
      <c r="AE45" s="306"/>
    </row>
    <row r="46" spans="1:31" ht="12.75">
      <c r="A46" s="255">
        <f t="shared" si="0"/>
        <v>38</v>
      </c>
      <c r="B46" s="258" t="s">
        <v>120</v>
      </c>
      <c r="C46" s="259">
        <v>3.7</v>
      </c>
      <c r="D46" s="259">
        <v>7.1</v>
      </c>
      <c r="E46" s="259">
        <v>0.00126</v>
      </c>
      <c r="F46" s="273">
        <v>0.00248</v>
      </c>
      <c r="G46" s="259">
        <v>11.6</v>
      </c>
      <c r="H46" s="259" t="s">
        <v>38</v>
      </c>
      <c r="I46" s="302" t="s">
        <v>38</v>
      </c>
      <c r="J46" s="290">
        <v>0.44</v>
      </c>
      <c r="K46" s="260">
        <v>0.48</v>
      </c>
      <c r="L46" s="245">
        <f>+IF('Dimensional Change'!$A$1=A46,IF($L$7=TRUE,E46,C46),0)</f>
        <v>0</v>
      </c>
      <c r="M46" s="245">
        <f>+IF('Dimensional Change'!$A$1=A46,IF($L$7=TRUE,F46,D46),0)</f>
        <v>0</v>
      </c>
      <c r="N46" s="245">
        <f>+IF('Dimensional Change'!$A$2=A46,IF($L$7=TRUE,E46,C46),0)</f>
        <v>0</v>
      </c>
      <c r="O46" s="245">
        <f>+IF('Dimensional Change'!$A$2=A46,IF($L$7=TRUE,F46,D46),0)</f>
        <v>0</v>
      </c>
      <c r="P46" s="245">
        <f>+IF('Dimensional Change'!$A$3=A46,IF($L$7=TRUE,E46,C46),0)</f>
        <v>0</v>
      </c>
      <c r="Q46" s="245">
        <f>+IF('Dimensional Change'!$A$3=A46,IF($L$7=TRUE,F46,D46),0)</f>
        <v>0</v>
      </c>
      <c r="R46" s="245">
        <f>+IF('SG &amp; Density'!$B$9=A46,J46,0)</f>
        <v>0</v>
      </c>
      <c r="S46" s="245">
        <f>+IF('SG &amp; Density'!$B$18=A46,K46,0)</f>
        <v>0</v>
      </c>
      <c r="T46" s="245">
        <f>+IF('SG &amp; Density'!$B$9=A46,G46,0)</f>
        <v>0</v>
      </c>
      <c r="U46" s="245">
        <f>+IF('SG &amp; Density'!$B$18=A46,G46,0)</f>
        <v>0</v>
      </c>
      <c r="V46" s="245">
        <f>+IF('SG &amp; Density'!$B$10=A46,J46,0)</f>
        <v>0</v>
      </c>
      <c r="W46" s="245">
        <f>+IF('SG &amp; Density'!$B$19=A46,K46,0)</f>
        <v>0</v>
      </c>
      <c r="X46" s="245">
        <f>+IF('SG &amp; Density'!$B$10=A46,G46,0)</f>
        <v>0</v>
      </c>
      <c r="Y46" s="245">
        <f>+IF('SG &amp; Density'!$B$19=A46,G46,0)</f>
        <v>0</v>
      </c>
      <c r="Z46" s="10"/>
      <c r="AA46" s="306"/>
      <c r="AB46" s="306"/>
      <c r="AC46" s="306"/>
      <c r="AD46" s="306"/>
      <c r="AE46" s="306"/>
    </row>
    <row r="47" spans="1:31" ht="12.75">
      <c r="A47" s="255">
        <f t="shared" si="0"/>
        <v>39</v>
      </c>
      <c r="B47" s="258" t="s">
        <v>121</v>
      </c>
      <c r="C47" s="259">
        <v>4.8</v>
      </c>
      <c r="D47" s="259">
        <v>9.3</v>
      </c>
      <c r="E47" s="259">
        <v>0.00165</v>
      </c>
      <c r="F47" s="273">
        <v>0.00353</v>
      </c>
      <c r="G47" s="259">
        <v>14</v>
      </c>
      <c r="H47" s="259" t="s">
        <v>38</v>
      </c>
      <c r="I47" s="302" t="s">
        <v>38</v>
      </c>
      <c r="J47" s="290">
        <v>0.52</v>
      </c>
      <c r="K47" s="260">
        <v>0.57</v>
      </c>
      <c r="L47" s="245">
        <f>+IF('Dimensional Change'!$A$1=A47,IF($L$7=TRUE,E47,C47),0)</f>
        <v>0</v>
      </c>
      <c r="M47" s="245">
        <f>+IF('Dimensional Change'!$A$1=A47,IF($L$7=TRUE,F47,D47),0)</f>
        <v>0</v>
      </c>
      <c r="N47" s="245">
        <f>+IF('Dimensional Change'!$A$2=A47,IF($L$7=TRUE,E47,C47),0)</f>
        <v>0</v>
      </c>
      <c r="O47" s="245">
        <f>+IF('Dimensional Change'!$A$2=A47,IF($L$7=TRUE,F47,D47),0)</f>
        <v>0</v>
      </c>
      <c r="P47" s="245">
        <f>+IF('Dimensional Change'!$A$3=A47,IF($L$7=TRUE,E47,C47),0)</f>
        <v>0</v>
      </c>
      <c r="Q47" s="245">
        <f>+IF('Dimensional Change'!$A$3=A47,IF($L$7=TRUE,F47,D47),0)</f>
        <v>0</v>
      </c>
      <c r="R47" s="245">
        <f>+IF('SG &amp; Density'!$B$9=A47,J47,0)</f>
        <v>0</v>
      </c>
      <c r="S47" s="245">
        <f>+IF('SG &amp; Density'!$B$18=A47,K47,0)</f>
        <v>0</v>
      </c>
      <c r="T47" s="245">
        <f>+IF('SG &amp; Density'!$B$9=A47,G47,0)</f>
        <v>0</v>
      </c>
      <c r="U47" s="245">
        <f>+IF('SG &amp; Density'!$B$18=A47,G47,0)</f>
        <v>0</v>
      </c>
      <c r="V47" s="245">
        <f>+IF('SG &amp; Density'!$B$10=A47,J47,0)</f>
        <v>0</v>
      </c>
      <c r="W47" s="245">
        <f>+IF('SG &amp; Density'!$B$19=A47,K47,0)</f>
        <v>0</v>
      </c>
      <c r="X47" s="245">
        <f>+IF('SG &amp; Density'!$B$10=A47,G47,0)</f>
        <v>0</v>
      </c>
      <c r="Y47" s="245">
        <f>+IF('SG &amp; Density'!$B$19=A47,G47,0)</f>
        <v>0</v>
      </c>
      <c r="Z47" s="10"/>
      <c r="AA47" s="306"/>
      <c r="AB47" s="306"/>
      <c r="AC47" s="306"/>
      <c r="AD47" s="306"/>
      <c r="AE47" s="306"/>
    </row>
    <row r="48" spans="1:31" ht="12.75">
      <c r="A48" s="255">
        <f t="shared" si="0"/>
        <v>40</v>
      </c>
      <c r="B48" s="258" t="s">
        <v>122</v>
      </c>
      <c r="C48" s="259">
        <v>4</v>
      </c>
      <c r="D48" s="259">
        <v>8.2</v>
      </c>
      <c r="E48" s="259">
        <v>0.00137</v>
      </c>
      <c r="F48" s="273">
        <v>0.00289</v>
      </c>
      <c r="G48" s="259">
        <v>12.6</v>
      </c>
      <c r="H48" s="259" t="s">
        <v>38</v>
      </c>
      <c r="I48" s="302" t="s">
        <v>38</v>
      </c>
      <c r="J48" s="290">
        <v>0.49</v>
      </c>
      <c r="K48" s="260">
        <v>0.54</v>
      </c>
      <c r="L48" s="245">
        <f>+IF('Dimensional Change'!$A$1=A48,IF($L$7=TRUE,E48,C48),0)</f>
        <v>0</v>
      </c>
      <c r="M48" s="245">
        <f>+IF('Dimensional Change'!$A$1=A48,IF($L$7=TRUE,F48,D48),0)</f>
        <v>0</v>
      </c>
      <c r="N48" s="245">
        <f>+IF('Dimensional Change'!$A$2=A48,IF($L$7=TRUE,E48,C48),0)</f>
        <v>0</v>
      </c>
      <c r="O48" s="245">
        <f>+IF('Dimensional Change'!$A$2=A48,IF($L$7=TRUE,F48,D48),0)</f>
        <v>0</v>
      </c>
      <c r="P48" s="245">
        <f>+IF('Dimensional Change'!$A$3=A48,IF($L$7=TRUE,E48,C48),0)</f>
        <v>0</v>
      </c>
      <c r="Q48" s="245">
        <f>+IF('Dimensional Change'!$A$3=A48,IF($L$7=TRUE,F48,D48),0)</f>
        <v>0</v>
      </c>
      <c r="R48" s="245">
        <f>+IF('SG &amp; Density'!$B$9=A48,J48,0)</f>
        <v>0</v>
      </c>
      <c r="S48" s="245">
        <f>+IF('SG &amp; Density'!$B$18=A48,K48,0)</f>
        <v>0</v>
      </c>
      <c r="T48" s="245">
        <f>+IF('SG &amp; Density'!$B$9=A48,G48,0)</f>
        <v>0</v>
      </c>
      <c r="U48" s="245">
        <f>+IF('SG &amp; Density'!$B$18=A48,G48,0)</f>
        <v>0</v>
      </c>
      <c r="V48" s="245">
        <f>+IF('SG &amp; Density'!$B$10=A48,J48,0)</f>
        <v>0</v>
      </c>
      <c r="W48" s="245">
        <f>+IF('SG &amp; Density'!$B$19=A48,K48,0)</f>
        <v>0</v>
      </c>
      <c r="X48" s="245">
        <f>+IF('SG &amp; Density'!$B$10=A48,G48,0)</f>
        <v>0</v>
      </c>
      <c r="Y48" s="245">
        <f>+IF('SG &amp; Density'!$B$19=A48,G48,0)</f>
        <v>0</v>
      </c>
      <c r="Z48" s="10"/>
      <c r="AA48" s="306"/>
      <c r="AB48" s="306"/>
      <c r="AC48" s="306"/>
      <c r="AD48" s="306"/>
      <c r="AE48" s="306"/>
    </row>
    <row r="49" spans="1:31" ht="12.75">
      <c r="A49" s="255">
        <f t="shared" si="0"/>
        <v>41</v>
      </c>
      <c r="B49" s="258" t="s">
        <v>123</v>
      </c>
      <c r="C49" s="259">
        <v>3</v>
      </c>
      <c r="D49" s="259">
        <v>7.2</v>
      </c>
      <c r="E49" s="259">
        <v>0.00102</v>
      </c>
      <c r="F49" s="273">
        <v>0.00252</v>
      </c>
      <c r="G49" s="259">
        <v>12</v>
      </c>
      <c r="H49" s="259">
        <v>58</v>
      </c>
      <c r="I49" s="302">
        <v>97</v>
      </c>
      <c r="J49" s="290">
        <v>0.44</v>
      </c>
      <c r="K49" s="260">
        <v>0.47</v>
      </c>
      <c r="L49" s="245">
        <f>+IF('Dimensional Change'!$A$1=A49,IF($L$7=TRUE,E49,C49),0)</f>
        <v>0</v>
      </c>
      <c r="M49" s="245">
        <f>+IF('Dimensional Change'!$A$1=A49,IF($L$7=TRUE,F49,D49),0)</f>
        <v>0</v>
      </c>
      <c r="N49" s="245">
        <f>+IF('Dimensional Change'!$A$2=A49,IF($L$7=TRUE,E49,C49),0)</f>
        <v>0</v>
      </c>
      <c r="O49" s="245">
        <f>+IF('Dimensional Change'!$A$2=A49,IF($L$7=TRUE,F49,D49),0)</f>
        <v>0</v>
      </c>
      <c r="P49" s="245">
        <f>+IF('Dimensional Change'!$A$3=A49,IF($L$7=TRUE,E49,C49),0)</f>
        <v>0</v>
      </c>
      <c r="Q49" s="245">
        <f>+IF('Dimensional Change'!$A$3=A49,IF($L$7=TRUE,F49,D49),0)</f>
        <v>0</v>
      </c>
      <c r="R49" s="245">
        <f>+IF('SG &amp; Density'!$B$9=A49,J49,0)</f>
        <v>0</v>
      </c>
      <c r="S49" s="245">
        <f>+IF('SG &amp; Density'!$B$18=A49,K49,0)</f>
        <v>0</v>
      </c>
      <c r="T49" s="245">
        <f>+IF('SG &amp; Density'!$B$9=A49,G49,0)</f>
        <v>0</v>
      </c>
      <c r="U49" s="245">
        <f>+IF('SG &amp; Density'!$B$18=A49,G49,0)</f>
        <v>0</v>
      </c>
      <c r="V49" s="245">
        <f>+IF('SG &amp; Density'!$B$10=A49,J49,0)</f>
        <v>0</v>
      </c>
      <c r="W49" s="245">
        <f>+IF('SG &amp; Density'!$B$19=A49,K49,0)</f>
        <v>0</v>
      </c>
      <c r="X49" s="245">
        <f>+IF('SG &amp; Density'!$B$10=A49,G49,0)</f>
        <v>0</v>
      </c>
      <c r="Y49" s="245">
        <f>+IF('SG &amp; Density'!$B$19=A49,G49,0)</f>
        <v>0</v>
      </c>
      <c r="Z49" s="10"/>
      <c r="AA49" s="306"/>
      <c r="AB49" s="306"/>
      <c r="AC49" s="306"/>
      <c r="AD49" s="306"/>
      <c r="AE49" s="306"/>
    </row>
    <row r="50" spans="1:31" ht="12.75">
      <c r="A50" s="255">
        <f t="shared" si="0"/>
        <v>42</v>
      </c>
      <c r="B50" s="258" t="s">
        <v>124</v>
      </c>
      <c r="C50" s="259">
        <v>4.8</v>
      </c>
      <c r="D50" s="259">
        <v>9.9</v>
      </c>
      <c r="E50" s="259">
        <v>0.00165</v>
      </c>
      <c r="F50" s="273">
        <v>0.00353</v>
      </c>
      <c r="G50" s="259">
        <v>14.7</v>
      </c>
      <c r="H50" s="259">
        <v>65</v>
      </c>
      <c r="I50" s="302">
        <v>72</v>
      </c>
      <c r="J50" s="290">
        <v>0.56</v>
      </c>
      <c r="K50" s="260">
        <v>0.63</v>
      </c>
      <c r="L50" s="245">
        <f>+IF('Dimensional Change'!$A$1=A50,IF($L$7=TRUE,E50,C50),0)</f>
        <v>0</v>
      </c>
      <c r="M50" s="245">
        <f>+IF('Dimensional Change'!$A$1=A50,IF($L$7=TRUE,F50,D50),0)</f>
        <v>0</v>
      </c>
      <c r="N50" s="245">
        <f>+IF('Dimensional Change'!$A$2=A50,IF($L$7=TRUE,E50,C50),0)</f>
        <v>0</v>
      </c>
      <c r="O50" s="245">
        <f>+IF('Dimensional Change'!$A$2=A50,IF($L$7=TRUE,F50,D50),0)</f>
        <v>0</v>
      </c>
      <c r="P50" s="245">
        <f>+IF('Dimensional Change'!$A$3=A50,IF($L$7=TRUE,E50,C50),0)</f>
        <v>0</v>
      </c>
      <c r="Q50" s="245">
        <f>+IF('Dimensional Change'!$A$3=A50,IF($L$7=TRUE,F50,D50),0)</f>
        <v>0</v>
      </c>
      <c r="R50" s="245">
        <f>+IF('SG &amp; Density'!$B$9=A50,J50,0)</f>
        <v>0</v>
      </c>
      <c r="S50" s="245">
        <f>+IF('SG &amp; Density'!$B$18=A50,K50,0)</f>
        <v>0</v>
      </c>
      <c r="T50" s="245">
        <f>+IF('SG &amp; Density'!$B$9=A50,G50,0)</f>
        <v>0</v>
      </c>
      <c r="U50" s="245">
        <f>+IF('SG &amp; Density'!$B$18=A50,G50,0)</f>
        <v>0</v>
      </c>
      <c r="V50" s="245">
        <f>+IF('SG &amp; Density'!$B$10=A50,J50,0)</f>
        <v>0</v>
      </c>
      <c r="W50" s="245">
        <f>+IF('SG &amp; Density'!$B$19=A50,K50,0)</f>
        <v>0</v>
      </c>
      <c r="X50" s="245">
        <f>+IF('SG &amp; Density'!$B$10=A50,G50,0)</f>
        <v>0</v>
      </c>
      <c r="Y50" s="245">
        <f>+IF('SG &amp; Density'!$B$19=A50,G50,0)</f>
        <v>0</v>
      </c>
      <c r="Z50" s="10"/>
      <c r="AA50" s="306"/>
      <c r="AB50" s="306"/>
      <c r="AC50" s="306"/>
      <c r="AD50" s="306"/>
      <c r="AE50" s="306"/>
    </row>
    <row r="51" spans="1:31" ht="12.75">
      <c r="A51" s="255">
        <f t="shared" si="0"/>
        <v>43</v>
      </c>
      <c r="B51" s="258" t="s">
        <v>125</v>
      </c>
      <c r="C51" s="259">
        <v>4.4</v>
      </c>
      <c r="D51" s="259">
        <v>11.1</v>
      </c>
      <c r="E51" s="259">
        <v>0.00123</v>
      </c>
      <c r="F51" s="273">
        <v>0.0023</v>
      </c>
      <c r="G51" s="259">
        <v>15.1</v>
      </c>
      <c r="H51" s="259">
        <v>76</v>
      </c>
      <c r="I51" s="302">
        <v>75</v>
      </c>
      <c r="J51" s="290">
        <v>0.56</v>
      </c>
      <c r="K51" s="260">
        <v>0.61</v>
      </c>
      <c r="L51" s="245">
        <f>+IF('Dimensional Change'!$A$1=A51,IF($L$7=TRUE,E51,C51),0)</f>
        <v>0</v>
      </c>
      <c r="M51" s="245">
        <f>+IF('Dimensional Change'!$A$1=A51,IF($L$7=TRUE,F51,D51),0)</f>
        <v>0</v>
      </c>
      <c r="N51" s="245">
        <f>+IF('Dimensional Change'!$A$2=A51,IF($L$7=TRUE,E51,C51),0)</f>
        <v>0</v>
      </c>
      <c r="O51" s="245">
        <f>+IF('Dimensional Change'!$A$2=A51,IF($L$7=TRUE,F51,D51),0)</f>
        <v>0</v>
      </c>
      <c r="P51" s="245">
        <f>+IF('Dimensional Change'!$A$3=A51,IF($L$7=TRUE,E51,C51),0)</f>
        <v>0</v>
      </c>
      <c r="Q51" s="245">
        <f>+IF('Dimensional Change'!$A$3=A51,IF($L$7=TRUE,F51,D51),0)</f>
        <v>0</v>
      </c>
      <c r="R51" s="245">
        <f>+IF('SG &amp; Density'!$B$9=A51,J51,0)</f>
        <v>0</v>
      </c>
      <c r="S51" s="245">
        <f>+IF('SG &amp; Density'!$B$18=A51,K51,0)</f>
        <v>0</v>
      </c>
      <c r="T51" s="245">
        <f>+IF('SG &amp; Density'!$B$9=A51,G51,0)</f>
        <v>0</v>
      </c>
      <c r="U51" s="245">
        <f>+IF('SG &amp; Density'!$B$18=A51,G51,0)</f>
        <v>0</v>
      </c>
      <c r="V51" s="245">
        <f>+IF('SG &amp; Density'!$B$10=A51,J51,0)</f>
        <v>0</v>
      </c>
      <c r="W51" s="245">
        <f>+IF('SG &amp; Density'!$B$19=A51,K51,0)</f>
        <v>0</v>
      </c>
      <c r="X51" s="245">
        <f>+IF('SG &amp; Density'!$B$10=A51,G51,0)</f>
        <v>0</v>
      </c>
      <c r="Y51" s="245">
        <f>+IF('SG &amp; Density'!$B$19=A51,G51,0)</f>
        <v>0</v>
      </c>
      <c r="Z51" s="10"/>
      <c r="AA51" s="306"/>
      <c r="AB51" s="306"/>
      <c r="AC51" s="306"/>
      <c r="AD51" s="306"/>
      <c r="AE51" s="306"/>
    </row>
    <row r="52" spans="1:31" ht="12.75">
      <c r="A52" s="255">
        <f t="shared" si="0"/>
        <v>44</v>
      </c>
      <c r="B52" s="258" t="s">
        <v>126</v>
      </c>
      <c r="C52" s="259">
        <v>4</v>
      </c>
      <c r="D52" s="259">
        <v>9.9</v>
      </c>
      <c r="E52" s="259">
        <v>0.00151</v>
      </c>
      <c r="F52" s="273">
        <v>0.0035</v>
      </c>
      <c r="G52" s="259">
        <v>19</v>
      </c>
      <c r="H52" s="259" t="s">
        <v>38</v>
      </c>
      <c r="I52" s="302" t="s">
        <v>38</v>
      </c>
      <c r="J52" s="290">
        <v>0.56</v>
      </c>
      <c r="K52" s="260">
        <v>0.63</v>
      </c>
      <c r="L52" s="245">
        <f>+IF('Dimensional Change'!$A$1=A52,IF($L$7=TRUE,E52,C52),0)</f>
        <v>0</v>
      </c>
      <c r="M52" s="245">
        <f>+IF('Dimensional Change'!$A$1=A52,IF($L$7=TRUE,F52,D52),0)</f>
        <v>0</v>
      </c>
      <c r="N52" s="245">
        <f>+IF('Dimensional Change'!$A$2=A52,IF($L$7=TRUE,E52,C52),0)</f>
        <v>0</v>
      </c>
      <c r="O52" s="245">
        <f>+IF('Dimensional Change'!$A$2=A52,IF($L$7=TRUE,F52,D52),0)</f>
        <v>0</v>
      </c>
      <c r="P52" s="245">
        <f>+IF('Dimensional Change'!$A$3=A52,IF($L$7=TRUE,E52,C52),0)</f>
        <v>0</v>
      </c>
      <c r="Q52" s="245">
        <f>+IF('Dimensional Change'!$A$3=A52,IF($L$7=TRUE,F52,D52),0)</f>
        <v>0</v>
      </c>
      <c r="R52" s="245">
        <f>+IF('SG &amp; Density'!$B$9=A52,J52,0)</f>
        <v>0</v>
      </c>
      <c r="S52" s="245">
        <f>+IF('SG &amp; Density'!$B$18=A52,K52,0)</f>
        <v>0</v>
      </c>
      <c r="T52" s="245">
        <f>+IF('SG &amp; Density'!$B$9=A52,G52,0)</f>
        <v>0</v>
      </c>
      <c r="U52" s="245">
        <f>+IF('SG &amp; Density'!$B$18=A52,G52,0)</f>
        <v>0</v>
      </c>
      <c r="V52" s="245">
        <f>+IF('SG &amp; Density'!$B$10=A52,J52,0)</f>
        <v>0</v>
      </c>
      <c r="W52" s="245">
        <f>+IF('SG &amp; Density'!$B$19=A52,K52,0)</f>
        <v>0</v>
      </c>
      <c r="X52" s="245">
        <f>+IF('SG &amp; Density'!$B$10=A52,G52,0)</f>
        <v>0</v>
      </c>
      <c r="Y52" s="245">
        <f>+IF('SG &amp; Density'!$B$19=A52,G52,0)</f>
        <v>0</v>
      </c>
      <c r="Z52" s="10"/>
      <c r="AA52" s="306"/>
      <c r="AB52" s="306"/>
      <c r="AC52" s="306"/>
      <c r="AD52" s="306"/>
      <c r="AE52" s="306"/>
    </row>
    <row r="53" spans="1:31" ht="12.75">
      <c r="A53" s="255">
        <f t="shared" si="0"/>
        <v>45</v>
      </c>
      <c r="B53" s="258" t="s">
        <v>127</v>
      </c>
      <c r="C53" s="259">
        <v>4</v>
      </c>
      <c r="D53" s="259">
        <v>8.6</v>
      </c>
      <c r="E53" s="259">
        <v>0.00158</v>
      </c>
      <c r="F53" s="273">
        <v>0.00369</v>
      </c>
      <c r="G53" s="259">
        <v>13.7</v>
      </c>
      <c r="H53" s="259">
        <v>80</v>
      </c>
      <c r="I53" s="302">
        <v>69</v>
      </c>
      <c r="J53" s="290">
        <v>0.56</v>
      </c>
      <c r="K53" s="260">
        <v>0.63</v>
      </c>
      <c r="L53" s="245">
        <f>+IF('Dimensional Change'!$A$1=A53,IF($L$7=TRUE,E53,C53),0)</f>
        <v>0</v>
      </c>
      <c r="M53" s="245">
        <f>+IF('Dimensional Change'!$A$1=A53,IF($L$7=TRUE,F53,D53),0)</f>
        <v>0</v>
      </c>
      <c r="N53" s="245">
        <f>+IF('Dimensional Change'!$A$2=A53,IF($L$7=TRUE,E53,C53),0)</f>
        <v>0</v>
      </c>
      <c r="O53" s="245">
        <f>+IF('Dimensional Change'!$A$2=A53,IF($L$7=TRUE,F53,D53),0)</f>
        <v>0</v>
      </c>
      <c r="P53" s="245">
        <f>+IF('Dimensional Change'!$A$3=A53,IF($L$7=TRUE,E53,C53),0)</f>
        <v>0</v>
      </c>
      <c r="Q53" s="245">
        <f>+IF('Dimensional Change'!$A$3=A53,IF($L$7=TRUE,F53,D53),0)</f>
        <v>0</v>
      </c>
      <c r="R53" s="245">
        <f>+IF('SG &amp; Density'!$B$9=A53,J53,0)</f>
        <v>0</v>
      </c>
      <c r="S53" s="245">
        <f>+IF('SG &amp; Density'!$B$18=A53,K53,0)</f>
        <v>0</v>
      </c>
      <c r="T53" s="245">
        <f>+IF('SG &amp; Density'!$B$9=A53,G53,0)</f>
        <v>0</v>
      </c>
      <c r="U53" s="245">
        <f>+IF('SG &amp; Density'!$B$18=A53,G53,0)</f>
        <v>0</v>
      </c>
      <c r="V53" s="245">
        <f>+IF('SG &amp; Density'!$B$10=A53,J53,0)</f>
        <v>0</v>
      </c>
      <c r="W53" s="245">
        <f>+IF('SG &amp; Density'!$B$19=A53,K53,0)</f>
        <v>0</v>
      </c>
      <c r="X53" s="245">
        <f>+IF('SG &amp; Density'!$B$10=A53,G53,0)</f>
        <v>0</v>
      </c>
      <c r="Y53" s="245">
        <f>+IF('SG &amp; Density'!$B$19=A53,G53,0)</f>
        <v>0</v>
      </c>
      <c r="Z53" s="10"/>
      <c r="AA53" s="306"/>
      <c r="AB53" s="306"/>
      <c r="AC53" s="306"/>
      <c r="AD53" s="306"/>
      <c r="AE53" s="306"/>
    </row>
    <row r="54" spans="1:31" ht="12.75">
      <c r="A54" s="255">
        <f t="shared" si="0"/>
        <v>46</v>
      </c>
      <c r="B54" s="258" t="s">
        <v>128</v>
      </c>
      <c r="C54" s="259">
        <v>4.7</v>
      </c>
      <c r="D54" s="259">
        <v>11.3</v>
      </c>
      <c r="E54" s="259">
        <v>0.00158</v>
      </c>
      <c r="F54" s="273">
        <v>0.00369</v>
      </c>
      <c r="G54" s="259">
        <v>16.1</v>
      </c>
      <c r="H54" s="259">
        <v>83</v>
      </c>
      <c r="I54" s="302">
        <v>75</v>
      </c>
      <c r="J54" s="290">
        <v>0.52</v>
      </c>
      <c r="K54" s="260">
        <v>0.59</v>
      </c>
      <c r="L54" s="245">
        <f>+IF('Dimensional Change'!$A$1=A54,IF($L$7=TRUE,E54,C54),0)</f>
        <v>0</v>
      </c>
      <c r="M54" s="245">
        <f>+IF('Dimensional Change'!$A$1=A54,IF($L$7=TRUE,F54,D54),0)</f>
        <v>0</v>
      </c>
      <c r="N54" s="245">
        <f>+IF('Dimensional Change'!$A$2=A54,IF($L$7=TRUE,E54,C54),0)</f>
        <v>0</v>
      </c>
      <c r="O54" s="245">
        <f>+IF('Dimensional Change'!$A$2=A54,IF($L$7=TRUE,F54,D54),0)</f>
        <v>0</v>
      </c>
      <c r="P54" s="245">
        <f>+IF('Dimensional Change'!$A$3=A54,IF($L$7=TRUE,E54,C54),0)</f>
        <v>0</v>
      </c>
      <c r="Q54" s="245">
        <f>+IF('Dimensional Change'!$A$3=A54,IF($L$7=TRUE,F54,D54),0)</f>
        <v>0</v>
      </c>
      <c r="R54" s="245">
        <f>+IF('SG &amp; Density'!$B$9=A54,J54,0)</f>
        <v>0</v>
      </c>
      <c r="S54" s="245">
        <f>+IF('SG &amp; Density'!$B$18=A54,K54,0)</f>
        <v>0</v>
      </c>
      <c r="T54" s="245">
        <f>+IF('SG &amp; Density'!$B$9=A54,G54,0)</f>
        <v>0</v>
      </c>
      <c r="U54" s="245">
        <f>+IF('SG &amp; Density'!$B$18=A54,G54,0)</f>
        <v>0</v>
      </c>
      <c r="V54" s="245">
        <f>+IF('SG &amp; Density'!$B$10=A54,J54,0)</f>
        <v>0</v>
      </c>
      <c r="W54" s="245">
        <f>+IF('SG &amp; Density'!$B$19=A54,K54,0)</f>
        <v>0</v>
      </c>
      <c r="X54" s="245">
        <f>+IF('SG &amp; Density'!$B$10=A54,G54,0)</f>
        <v>0</v>
      </c>
      <c r="Y54" s="245">
        <f>+IF('SG &amp; Density'!$B$19=A54,G54,0)</f>
        <v>0</v>
      </c>
      <c r="Z54" s="10"/>
      <c r="AA54" s="306"/>
      <c r="AB54" s="306"/>
      <c r="AC54" s="306"/>
      <c r="AD54" s="306"/>
      <c r="AE54" s="306"/>
    </row>
    <row r="55" spans="1:31" ht="12.75">
      <c r="A55" s="255">
        <f t="shared" si="0"/>
        <v>47</v>
      </c>
      <c r="B55" s="258" t="s">
        <v>129</v>
      </c>
      <c r="C55" s="259">
        <v>4.4</v>
      </c>
      <c r="D55" s="259">
        <v>9.8</v>
      </c>
      <c r="E55" s="259">
        <v>0.00151</v>
      </c>
      <c r="F55" s="273">
        <v>0.0035</v>
      </c>
      <c r="G55" s="259">
        <v>16.1</v>
      </c>
      <c r="H55" s="259">
        <v>81</v>
      </c>
      <c r="I55" s="302">
        <v>81</v>
      </c>
      <c r="J55" s="290">
        <v>0.56</v>
      </c>
      <c r="K55" s="260">
        <v>0.63</v>
      </c>
      <c r="L55" s="245">
        <f>+IF('Dimensional Change'!$A$1=A55,IF($L$7=TRUE,E55,C55),0)</f>
        <v>0</v>
      </c>
      <c r="M55" s="245">
        <f>+IF('Dimensional Change'!$A$1=A55,IF($L$7=TRUE,F55,D55),0)</f>
        <v>0</v>
      </c>
      <c r="N55" s="245">
        <f>+IF('Dimensional Change'!$A$2=A55,IF($L$7=TRUE,E55,C55),0)</f>
        <v>0</v>
      </c>
      <c r="O55" s="245">
        <f>+IF('Dimensional Change'!$A$2=A55,IF($L$7=TRUE,F55,D55),0)</f>
        <v>0</v>
      </c>
      <c r="P55" s="245">
        <f>+IF('Dimensional Change'!$A$3=A55,IF($L$7=TRUE,E55,C55),0)</f>
        <v>0</v>
      </c>
      <c r="Q55" s="245">
        <f>+IF('Dimensional Change'!$A$3=A55,IF($L$7=TRUE,F55,D55),0)</f>
        <v>0</v>
      </c>
      <c r="R55" s="245">
        <f>+IF('SG &amp; Density'!$B$9=A55,J55,0)</f>
        <v>0</v>
      </c>
      <c r="S55" s="245">
        <f>+IF('SG &amp; Density'!$B$18=A55,K55,0)</f>
        <v>0</v>
      </c>
      <c r="T55" s="245">
        <f>+IF('SG &amp; Density'!$B$9=A55,G55,0)</f>
        <v>0</v>
      </c>
      <c r="U55" s="245">
        <f>+IF('SG &amp; Density'!$B$18=A55,G55,0)</f>
        <v>0</v>
      </c>
      <c r="V55" s="245">
        <f>+IF('SG &amp; Density'!$B$10=A55,J55,0)</f>
        <v>0</v>
      </c>
      <c r="W55" s="245">
        <f>+IF('SG &amp; Density'!$B$19=A55,K55,0)</f>
        <v>0</v>
      </c>
      <c r="X55" s="245">
        <f>+IF('SG &amp; Density'!$B$10=A55,G55,0)</f>
        <v>0</v>
      </c>
      <c r="Y55" s="245">
        <f>+IF('SG &amp; Density'!$B$19=A55,G55,0)</f>
        <v>0</v>
      </c>
      <c r="Z55" s="10"/>
      <c r="AA55" s="306"/>
      <c r="AB55" s="306"/>
      <c r="AC55" s="306"/>
      <c r="AD55" s="306"/>
      <c r="AE55" s="306"/>
    </row>
    <row r="56" spans="1:31" ht="12.75">
      <c r="A56" s="255">
        <f t="shared" si="0"/>
        <v>48</v>
      </c>
      <c r="B56" s="258" t="s">
        <v>130</v>
      </c>
      <c r="C56" s="259">
        <v>5</v>
      </c>
      <c r="D56" s="259">
        <v>9.6</v>
      </c>
      <c r="E56" s="259">
        <v>0.00151</v>
      </c>
      <c r="F56" s="273">
        <v>0.0035</v>
      </c>
      <c r="G56" s="259">
        <v>18.9</v>
      </c>
      <c r="H56" s="259">
        <v>82</v>
      </c>
      <c r="I56" s="302">
        <v>74</v>
      </c>
      <c r="J56" s="290">
        <v>0.56</v>
      </c>
      <c r="K56" s="260">
        <v>0.69</v>
      </c>
      <c r="L56" s="245">
        <f>+IF('Dimensional Change'!$A$1=A56,IF($L$7=TRUE,E56,C56),0)</f>
        <v>0</v>
      </c>
      <c r="M56" s="245">
        <f>+IF('Dimensional Change'!$A$1=A56,IF($L$7=TRUE,F56,D56),0)</f>
        <v>0</v>
      </c>
      <c r="N56" s="245">
        <f>+IF('Dimensional Change'!$A$2=A56,IF($L$7=TRUE,E56,C56),0)</f>
        <v>0</v>
      </c>
      <c r="O56" s="245">
        <f>+IF('Dimensional Change'!$A$2=A56,IF($L$7=TRUE,F56,D56),0)</f>
        <v>0</v>
      </c>
      <c r="P56" s="245">
        <f>+IF('Dimensional Change'!$A$3=A56,IF($L$7=TRUE,E56,C56),0)</f>
        <v>0</v>
      </c>
      <c r="Q56" s="245">
        <f>+IF('Dimensional Change'!$A$3=A56,IF($L$7=TRUE,F56,D56),0)</f>
        <v>0</v>
      </c>
      <c r="R56" s="245">
        <f>+IF('SG &amp; Density'!$B$9=A56,J56,0)</f>
        <v>0</v>
      </c>
      <c r="S56" s="245">
        <f>+IF('SG &amp; Density'!$B$18=A56,K56,0)</f>
        <v>0</v>
      </c>
      <c r="T56" s="245">
        <f>+IF('SG &amp; Density'!$B$9=A56,G56,0)</f>
        <v>0</v>
      </c>
      <c r="U56" s="245">
        <f>+IF('SG &amp; Density'!$B$18=A56,G56,0)</f>
        <v>0</v>
      </c>
      <c r="V56" s="245">
        <f>+IF('SG &amp; Density'!$B$10=A56,J56,0)</f>
        <v>0</v>
      </c>
      <c r="W56" s="245">
        <f>+IF('SG &amp; Density'!$B$19=A56,K56,0)</f>
        <v>0</v>
      </c>
      <c r="X56" s="245">
        <f>+IF('SG &amp; Density'!$B$10=A56,G56,0)</f>
        <v>0</v>
      </c>
      <c r="Y56" s="245">
        <f>+IF('SG &amp; Density'!$B$19=A56,G56,0)</f>
        <v>0</v>
      </c>
      <c r="Z56" s="10"/>
      <c r="AA56" s="306"/>
      <c r="AB56" s="306"/>
      <c r="AC56" s="306"/>
      <c r="AD56" s="306"/>
      <c r="AE56" s="306"/>
    </row>
    <row r="57" spans="1:31" ht="12.75">
      <c r="A57" s="255">
        <f t="shared" si="0"/>
        <v>49</v>
      </c>
      <c r="B57" s="258" t="s">
        <v>131</v>
      </c>
      <c r="C57" s="259">
        <v>6.6</v>
      </c>
      <c r="D57" s="259">
        <v>9.5</v>
      </c>
      <c r="E57" s="259">
        <v>0.0023</v>
      </c>
      <c r="F57" s="273">
        <v>0.00338</v>
      </c>
      <c r="G57" s="259">
        <v>14.7</v>
      </c>
      <c r="H57" s="259" t="s">
        <v>38</v>
      </c>
      <c r="I57" s="302" t="s">
        <v>38</v>
      </c>
      <c r="J57" s="290">
        <v>0.8</v>
      </c>
      <c r="K57" s="260">
        <v>0.88</v>
      </c>
      <c r="L57" s="245">
        <f>+IF('Dimensional Change'!$A$1=A57,IF($L$7=TRUE,E57,C57),0)</f>
        <v>0</v>
      </c>
      <c r="M57" s="245">
        <f>+IF('Dimensional Change'!$A$1=A57,IF($L$7=TRUE,F57,D57),0)</f>
        <v>0</v>
      </c>
      <c r="N57" s="245">
        <f>+IF('Dimensional Change'!$A$2=A57,IF($L$7=TRUE,E57,C57),0)</f>
        <v>0</v>
      </c>
      <c r="O57" s="245">
        <f>+IF('Dimensional Change'!$A$2=A57,IF($L$7=TRUE,F57,D57),0)</f>
        <v>0</v>
      </c>
      <c r="P57" s="245">
        <f>+IF('Dimensional Change'!$A$3=A57,IF($L$7=TRUE,E57,C57),0)</f>
        <v>0</v>
      </c>
      <c r="Q57" s="245">
        <f>+IF('Dimensional Change'!$A$3=A57,IF($L$7=TRUE,F57,D57),0)</f>
        <v>0</v>
      </c>
      <c r="R57" s="245">
        <f>+IF('SG &amp; Density'!$B$9=A57,J57,0)</f>
        <v>0</v>
      </c>
      <c r="S57" s="245">
        <f>+IF('SG &amp; Density'!$B$18=A57,K57,0)</f>
        <v>0</v>
      </c>
      <c r="T57" s="245">
        <f>+IF('SG &amp; Density'!$B$9=A57,G57,0)</f>
        <v>0</v>
      </c>
      <c r="U57" s="245">
        <f>+IF('SG &amp; Density'!$B$18=A57,G57,0)</f>
        <v>0</v>
      </c>
      <c r="V57" s="245">
        <f>+IF('SG &amp; Density'!$B$10=A57,J57,0)</f>
        <v>0</v>
      </c>
      <c r="W57" s="245">
        <f>+IF('SG &amp; Density'!$B$19=A57,K57,0)</f>
        <v>0</v>
      </c>
      <c r="X57" s="245">
        <f>+IF('SG &amp; Density'!$B$10=A57,G57,0)</f>
        <v>0</v>
      </c>
      <c r="Y57" s="245">
        <f>+IF('SG &amp; Density'!$B$19=A57,G57,0)</f>
        <v>0</v>
      </c>
      <c r="Z57" s="10"/>
      <c r="AA57" s="306"/>
      <c r="AB57" s="306"/>
      <c r="AC57" s="306"/>
      <c r="AD57" s="306"/>
      <c r="AE57" s="306"/>
    </row>
    <row r="58" spans="1:31" ht="12.75">
      <c r="A58" s="255">
        <f t="shared" si="0"/>
        <v>50</v>
      </c>
      <c r="B58" s="258" t="s">
        <v>132</v>
      </c>
      <c r="C58" s="259">
        <v>5.3</v>
      </c>
      <c r="D58" s="259">
        <v>12.7</v>
      </c>
      <c r="E58" s="259">
        <v>0.00183</v>
      </c>
      <c r="F58" s="273">
        <v>0.00462</v>
      </c>
      <c r="G58" s="259">
        <v>16</v>
      </c>
      <c r="H58" s="259" t="s">
        <v>38</v>
      </c>
      <c r="I58" s="302" t="s">
        <v>38</v>
      </c>
      <c r="J58" s="290">
        <v>0.57</v>
      </c>
      <c r="K58" s="260">
        <v>0.63</v>
      </c>
      <c r="L58" s="245">
        <f>+IF('Dimensional Change'!$A$1=A58,IF($L$7=TRUE,E58,C58),0)</f>
        <v>0</v>
      </c>
      <c r="M58" s="245">
        <f>+IF('Dimensional Change'!$A$1=A58,IF($L$7=TRUE,F58,D58),0)</f>
        <v>0</v>
      </c>
      <c r="N58" s="245">
        <f>+IF('Dimensional Change'!$A$2=A58,IF($L$7=TRUE,E58,C58),0)</f>
        <v>0</v>
      </c>
      <c r="O58" s="245">
        <f>+IF('Dimensional Change'!$A$2=A58,IF($L$7=TRUE,F58,D58),0)</f>
        <v>0</v>
      </c>
      <c r="P58" s="245">
        <f>+IF('Dimensional Change'!$A$3=A58,IF($L$7=TRUE,E58,C58),0)</f>
        <v>0</v>
      </c>
      <c r="Q58" s="245">
        <f>+IF('Dimensional Change'!$A$3=A58,IF($L$7=TRUE,F58,D58),0)</f>
        <v>0</v>
      </c>
      <c r="R58" s="245">
        <f>+IF('SG &amp; Density'!$B$9=A58,J58,0)</f>
        <v>0</v>
      </c>
      <c r="S58" s="245">
        <f>+IF('SG &amp; Density'!$B$18=A58,K58,0)</f>
        <v>0</v>
      </c>
      <c r="T58" s="245">
        <f>+IF('SG &amp; Density'!$B$9=A58,G58,0)</f>
        <v>0</v>
      </c>
      <c r="U58" s="245">
        <f>+IF('SG &amp; Density'!$B$18=A58,G58,0)</f>
        <v>0</v>
      </c>
      <c r="V58" s="245">
        <f>+IF('SG &amp; Density'!$B$10=A58,J58,0)</f>
        <v>0</v>
      </c>
      <c r="W58" s="245">
        <f>+IF('SG &amp; Density'!$B$19=A58,K58,0)</f>
        <v>0</v>
      </c>
      <c r="X58" s="245">
        <f>+IF('SG &amp; Density'!$B$10=A58,G58,0)</f>
        <v>0</v>
      </c>
      <c r="Y58" s="245">
        <f>+IF('SG &amp; Density'!$B$19=A58,G58,0)</f>
        <v>0</v>
      </c>
      <c r="Z58" s="10"/>
      <c r="AA58" s="306"/>
      <c r="AB58" s="306"/>
      <c r="AC58" s="306"/>
      <c r="AD58" s="306"/>
      <c r="AE58" s="306"/>
    </row>
    <row r="59" spans="1:31" ht="12.75">
      <c r="A59" s="255">
        <f t="shared" si="0"/>
        <v>51</v>
      </c>
      <c r="B59" s="258" t="s">
        <v>26</v>
      </c>
      <c r="C59" s="259">
        <v>5.6</v>
      </c>
      <c r="D59" s="259">
        <v>10.5</v>
      </c>
      <c r="E59" s="259">
        <v>0.0018</v>
      </c>
      <c r="F59" s="273">
        <v>0.00365</v>
      </c>
      <c r="G59" s="259">
        <v>16.3</v>
      </c>
      <c r="H59" s="259">
        <v>64</v>
      </c>
      <c r="I59" s="302">
        <v>78</v>
      </c>
      <c r="J59" s="290">
        <v>0.6</v>
      </c>
      <c r="K59" s="260">
        <v>0.68</v>
      </c>
      <c r="L59" s="245">
        <f>+IF('Dimensional Change'!$A$1=A59,IF($L$7=TRUE,E59,C59),0)</f>
        <v>0</v>
      </c>
      <c r="M59" s="245">
        <f>+IF('Dimensional Change'!$A$1=A59,IF($L$7=TRUE,F59,D59),0)</f>
        <v>0</v>
      </c>
      <c r="N59" s="245">
        <f>+IF('Dimensional Change'!$A$2=A59,IF($L$7=TRUE,E59,C59),0)</f>
        <v>0</v>
      </c>
      <c r="O59" s="245">
        <f>+IF('Dimensional Change'!$A$2=A59,IF($L$7=TRUE,F59,D59),0)</f>
        <v>0</v>
      </c>
      <c r="P59" s="245">
        <f>+IF('Dimensional Change'!$A$3=A59,IF($L$7=TRUE,E59,C59),0)</f>
        <v>0</v>
      </c>
      <c r="Q59" s="245">
        <f>+IF('Dimensional Change'!$A$3=A59,IF($L$7=TRUE,F59,D59),0)</f>
        <v>0</v>
      </c>
      <c r="R59" s="245">
        <f>+IF('SG &amp; Density'!$B$9=A59,J59,0)</f>
        <v>0</v>
      </c>
      <c r="S59" s="245">
        <f>+IF('SG &amp; Density'!$B$18=A59,K59,0)</f>
        <v>0</v>
      </c>
      <c r="T59" s="245">
        <f>+IF('SG &amp; Density'!$B$9=A59,G59,0)</f>
        <v>0</v>
      </c>
      <c r="U59" s="245">
        <f>+IF('SG &amp; Density'!$B$18=A59,G59,0)</f>
        <v>0</v>
      </c>
      <c r="V59" s="245">
        <f>+IF('SG &amp; Density'!$B$10=A59,J59,0)</f>
        <v>0</v>
      </c>
      <c r="W59" s="245">
        <f>+IF('SG &amp; Density'!$B$19=A59,K59,0)</f>
        <v>0</v>
      </c>
      <c r="X59" s="245">
        <f>+IF('SG &amp; Density'!$B$10=A59,G59,0)</f>
        <v>0</v>
      </c>
      <c r="Y59" s="245">
        <f>+IF('SG &amp; Density'!$B$19=A59,G59,0)</f>
        <v>0</v>
      </c>
      <c r="Z59" s="10"/>
      <c r="AA59" s="306"/>
      <c r="AB59" s="306"/>
      <c r="AC59" s="306"/>
      <c r="AD59" s="306"/>
      <c r="AE59" s="306"/>
    </row>
    <row r="60" spans="1:31" ht="12.75">
      <c r="A60" s="255">
        <f t="shared" si="0"/>
        <v>52</v>
      </c>
      <c r="B60" s="258" t="s">
        <v>27</v>
      </c>
      <c r="C60" s="259">
        <v>7.9</v>
      </c>
      <c r="D60" s="259">
        <v>11.2</v>
      </c>
      <c r="E60" s="259">
        <v>0.00278</v>
      </c>
      <c r="F60" s="273">
        <v>0.00403</v>
      </c>
      <c r="G60" s="259">
        <v>19.1</v>
      </c>
      <c r="H60" s="259" t="s">
        <v>38</v>
      </c>
      <c r="I60" s="302" t="s">
        <v>38</v>
      </c>
      <c r="J60" s="290">
        <v>0.64</v>
      </c>
      <c r="K60" s="260">
        <v>0.74</v>
      </c>
      <c r="L60" s="245">
        <f>+IF('Dimensional Change'!$A$1=A60,IF($L$7=TRUE,E60,C60),0)</f>
        <v>0</v>
      </c>
      <c r="M60" s="245">
        <f>+IF('Dimensional Change'!$A$1=A60,IF($L$7=TRUE,F60,D60),0)</f>
        <v>0</v>
      </c>
      <c r="N60" s="245">
        <f>+IF('Dimensional Change'!$A$2=A60,IF($L$7=TRUE,E60,C60),0)</f>
        <v>0</v>
      </c>
      <c r="O60" s="245">
        <f>+IF('Dimensional Change'!$A$2=A60,IF($L$7=TRUE,F60,D60),0)</f>
        <v>0</v>
      </c>
      <c r="P60" s="245">
        <f>+IF('Dimensional Change'!$A$3=A60,IF($L$7=TRUE,E60,C60),0)</f>
        <v>0</v>
      </c>
      <c r="Q60" s="245">
        <f>+IF('Dimensional Change'!$A$3=A60,IF($L$7=TRUE,F60,D60),0)</f>
        <v>0</v>
      </c>
      <c r="R60" s="245">
        <f>+IF('SG &amp; Density'!$B$9=A60,J60,0)</f>
        <v>0</v>
      </c>
      <c r="S60" s="245">
        <f>+IF('SG &amp; Density'!$B$18=A60,K60,0)</f>
        <v>0</v>
      </c>
      <c r="T60" s="245">
        <f>+IF('SG &amp; Density'!$B$9=A60,G60,0)</f>
        <v>0</v>
      </c>
      <c r="U60" s="245">
        <f>+IF('SG &amp; Density'!$B$18=A60,G60,0)</f>
        <v>0</v>
      </c>
      <c r="V60" s="245">
        <f>+IF('SG &amp; Density'!$B$10=A60,J60,0)</f>
        <v>0</v>
      </c>
      <c r="W60" s="245">
        <f>+IF('SG &amp; Density'!$B$19=A60,K60,0)</f>
        <v>0</v>
      </c>
      <c r="X60" s="245">
        <f>+IF('SG &amp; Density'!$B$10=A60,G60,0)</f>
        <v>0</v>
      </c>
      <c r="Y60" s="245">
        <f>+IF('SG &amp; Density'!$B$19=A60,G60,0)</f>
        <v>0</v>
      </c>
      <c r="Z60" s="10"/>
      <c r="AA60" s="306"/>
      <c r="AB60" s="306"/>
      <c r="AC60" s="306"/>
      <c r="AD60" s="306"/>
      <c r="AE60" s="306"/>
    </row>
    <row r="61" spans="1:31" ht="12.75">
      <c r="A61" s="255">
        <f t="shared" si="0"/>
        <v>53</v>
      </c>
      <c r="B61" s="261" t="s">
        <v>135</v>
      </c>
      <c r="C61" s="262">
        <v>4.6</v>
      </c>
      <c r="D61" s="262">
        <v>8.2</v>
      </c>
      <c r="E61" s="262">
        <v>0.00158</v>
      </c>
      <c r="F61" s="273">
        <v>0.00289</v>
      </c>
      <c r="G61" s="259">
        <v>12.7</v>
      </c>
      <c r="H61" s="259">
        <v>83</v>
      </c>
      <c r="I61" s="302">
        <v>106</v>
      </c>
      <c r="J61" s="290">
        <v>0.4</v>
      </c>
      <c r="K61" s="260">
        <v>0.42</v>
      </c>
      <c r="L61" s="245">
        <f>+IF('Dimensional Change'!$A$1=A61,IF($L$7=TRUE,E61,C61),0)</f>
        <v>0</v>
      </c>
      <c r="M61" s="245">
        <f>+IF('Dimensional Change'!$A$1=A61,IF($L$7=TRUE,F61,D61),0)</f>
        <v>0</v>
      </c>
      <c r="N61" s="245">
        <f>+IF('Dimensional Change'!$A$2=A61,IF($L$7=TRUE,E61,C61),0)</f>
        <v>0</v>
      </c>
      <c r="O61" s="245">
        <f>+IF('Dimensional Change'!$A$2=A61,IF($L$7=TRUE,F61,D61),0)</f>
        <v>0</v>
      </c>
      <c r="P61" s="245">
        <f>+IF('Dimensional Change'!$A$3=A61,IF($L$7=TRUE,E61,C61),0)</f>
        <v>0</v>
      </c>
      <c r="Q61" s="245">
        <f>+IF('Dimensional Change'!$A$3=A61,IF($L$7=TRUE,F61,D61),0)</f>
        <v>0</v>
      </c>
      <c r="R61" s="245">
        <f>+IF('SG &amp; Density'!$B$9=A61,J61,0)</f>
        <v>0</v>
      </c>
      <c r="S61" s="245">
        <f>+IF('SG &amp; Density'!$B$18=A61,K61,0)</f>
        <v>0</v>
      </c>
      <c r="T61" s="245">
        <f>+IF('SG &amp; Density'!$B$9=A61,G61,0)</f>
        <v>0</v>
      </c>
      <c r="U61" s="245">
        <f>+IF('SG &amp; Density'!$B$18=A61,G61,0)</f>
        <v>0</v>
      </c>
      <c r="V61" s="245">
        <f>+IF('SG &amp; Density'!$B$10=A61,J61,0)</f>
        <v>0</v>
      </c>
      <c r="W61" s="245">
        <f>+IF('SG &amp; Density'!$B$19=A61,K61,0)</f>
        <v>0</v>
      </c>
      <c r="X61" s="245">
        <f>+IF('SG &amp; Density'!$B$10=A61,G61,0)</f>
        <v>0</v>
      </c>
      <c r="Y61" s="245">
        <f>+IF('SG &amp; Density'!$B$19=A61,G61,0)</f>
        <v>0</v>
      </c>
      <c r="Z61" s="10"/>
      <c r="AA61" s="306"/>
      <c r="AB61" s="306"/>
      <c r="AC61" s="306"/>
      <c r="AD61" s="306"/>
      <c r="AE61" s="306"/>
    </row>
    <row r="62" spans="1:31" ht="12.75">
      <c r="A62" s="255">
        <f t="shared" si="0"/>
        <v>54</v>
      </c>
      <c r="B62" s="258" t="s">
        <v>28</v>
      </c>
      <c r="C62" s="259">
        <v>4</v>
      </c>
      <c r="D62" s="259">
        <v>6.2</v>
      </c>
      <c r="E62" s="259">
        <v>0.00137</v>
      </c>
      <c r="F62" s="273">
        <v>0.00216</v>
      </c>
      <c r="G62" s="259">
        <v>10.3</v>
      </c>
      <c r="H62" s="259" t="s">
        <v>38</v>
      </c>
      <c r="I62" s="302" t="s">
        <v>38</v>
      </c>
      <c r="J62" s="290">
        <v>0.42</v>
      </c>
      <c r="K62" s="260">
        <v>0.46</v>
      </c>
      <c r="L62" s="245">
        <f>+IF('Dimensional Change'!$A$1=A62,IF($L$7=TRUE,E62,C62),0)</f>
        <v>0</v>
      </c>
      <c r="M62" s="245">
        <f>+IF('Dimensional Change'!$A$1=A62,IF($L$7=TRUE,F62,D62),0)</f>
        <v>0</v>
      </c>
      <c r="N62" s="245">
        <f>+IF('Dimensional Change'!$A$2=A62,IF($L$7=TRUE,E62,C62),0)</f>
        <v>0</v>
      </c>
      <c r="O62" s="245">
        <f>+IF('Dimensional Change'!$A$2=A62,IF($L$7=TRUE,F62,D62),0)</f>
        <v>0</v>
      </c>
      <c r="P62" s="245">
        <f>+IF('Dimensional Change'!$A$3=A62,IF($L$7=TRUE,E62,C62),0)</f>
        <v>0</v>
      </c>
      <c r="Q62" s="245">
        <f>+IF('Dimensional Change'!$A$3=A62,IF($L$7=TRUE,F62,D62),0)</f>
        <v>0</v>
      </c>
      <c r="R62" s="245">
        <f>+IF('SG &amp; Density'!$B$9=A62,J62,0)</f>
        <v>0</v>
      </c>
      <c r="S62" s="245">
        <f>+IF('SG &amp; Density'!$B$18=A62,K62,0)</f>
        <v>0</v>
      </c>
      <c r="T62" s="245">
        <f>+IF('SG &amp; Density'!$B$9=A62,G62,0)</f>
        <v>0</v>
      </c>
      <c r="U62" s="245">
        <f>+IF('SG &amp; Density'!$B$18=A62,G62,0)</f>
        <v>0</v>
      </c>
      <c r="V62" s="245">
        <f>+IF('SG &amp; Density'!$B$10=A62,J62,0)</f>
        <v>0</v>
      </c>
      <c r="W62" s="245">
        <f>+IF('SG &amp; Density'!$B$19=A62,K62,0)</f>
        <v>0</v>
      </c>
      <c r="X62" s="245">
        <f>+IF('SG &amp; Density'!$B$10=A62,G62,0)</f>
        <v>0</v>
      </c>
      <c r="Y62" s="245">
        <f>+IF('SG &amp; Density'!$B$19=A62,G62,0)</f>
        <v>0</v>
      </c>
      <c r="Z62" s="10"/>
      <c r="AA62" s="306"/>
      <c r="AB62" s="306"/>
      <c r="AC62" s="306"/>
      <c r="AD62" s="306"/>
      <c r="AE62" s="306"/>
    </row>
    <row r="63" spans="1:31" ht="12.75">
      <c r="A63" s="255">
        <f t="shared" si="0"/>
        <v>55</v>
      </c>
      <c r="B63" s="258" t="s">
        <v>29</v>
      </c>
      <c r="C63" s="259">
        <v>5.3</v>
      </c>
      <c r="D63" s="259">
        <v>10.2</v>
      </c>
      <c r="E63" s="259">
        <v>0.00183</v>
      </c>
      <c r="F63" s="273">
        <v>0.00365</v>
      </c>
      <c r="G63" s="259">
        <v>15.8</v>
      </c>
      <c r="H63" s="259">
        <v>79</v>
      </c>
      <c r="I63" s="302">
        <v>137</v>
      </c>
      <c r="J63" s="290">
        <v>0.46</v>
      </c>
      <c r="K63" s="260">
        <v>0.52</v>
      </c>
      <c r="L63" s="245">
        <f>+IF('Dimensional Change'!$A$1=A63,IF($L$7=TRUE,E63,C63),0)</f>
        <v>0</v>
      </c>
      <c r="M63" s="245">
        <f>+IF('Dimensional Change'!$A$1=A63,IF($L$7=TRUE,F63,D63),0)</f>
        <v>0</v>
      </c>
      <c r="N63" s="245">
        <f>+IF('Dimensional Change'!$A$2=A63,IF($L$7=TRUE,E63,C63),0)</f>
        <v>0</v>
      </c>
      <c r="O63" s="245">
        <f>+IF('Dimensional Change'!$A$2=A63,IF($L$7=TRUE,F63,D63),0)</f>
        <v>0</v>
      </c>
      <c r="P63" s="245">
        <f>+IF('Dimensional Change'!$A$3=A63,IF($L$7=TRUE,E63,C63),0)</f>
        <v>0</v>
      </c>
      <c r="Q63" s="245">
        <f>+IF('Dimensional Change'!$A$3=A63,IF($L$7=TRUE,F63,D63),0)</f>
        <v>0</v>
      </c>
      <c r="R63" s="245">
        <f>+IF('SG &amp; Density'!$B$9=A63,J63,0)</f>
        <v>0</v>
      </c>
      <c r="S63" s="245">
        <f>+IF('SG &amp; Density'!$B$18=A63,K63,0)</f>
        <v>0</v>
      </c>
      <c r="T63" s="245">
        <f>+IF('SG &amp; Density'!$B$9=A63,G63,0)</f>
        <v>0</v>
      </c>
      <c r="U63" s="245">
        <f>+IF('SG &amp; Density'!$B$18=A63,G63,0)</f>
        <v>0</v>
      </c>
      <c r="V63" s="245">
        <f>+IF('SG &amp; Density'!$B$10=A63,J63,0)</f>
        <v>0</v>
      </c>
      <c r="W63" s="245">
        <f>+IF('SG &amp; Density'!$B$19=A63,K63,0)</f>
        <v>0</v>
      </c>
      <c r="X63" s="245">
        <f>+IF('SG &amp; Density'!$B$10=A63,G63,0)</f>
        <v>0</v>
      </c>
      <c r="Y63" s="245">
        <f>+IF('SG &amp; Density'!$B$19=A63,G63,0)</f>
        <v>0</v>
      </c>
      <c r="Z63" s="10"/>
      <c r="AA63" s="306"/>
      <c r="AB63" s="306"/>
      <c r="AC63" s="306"/>
      <c r="AD63" s="306"/>
      <c r="AE63" s="306"/>
    </row>
    <row r="64" spans="1:31" ht="12.75">
      <c r="A64" s="255">
        <f t="shared" si="0"/>
        <v>56</v>
      </c>
      <c r="B64" s="258" t="s">
        <v>30</v>
      </c>
      <c r="C64" s="259">
        <v>5</v>
      </c>
      <c r="D64" s="259">
        <v>8.4</v>
      </c>
      <c r="E64" s="259">
        <v>0.00172</v>
      </c>
      <c r="F64" s="273">
        <v>0.00296</v>
      </c>
      <c r="G64" s="259">
        <v>14.1</v>
      </c>
      <c r="H64" s="259">
        <v>114</v>
      </c>
      <c r="I64" s="302">
        <v>130</v>
      </c>
      <c r="J64" s="290">
        <v>0.46</v>
      </c>
      <c r="K64" s="260">
        <v>0.49</v>
      </c>
      <c r="L64" s="245">
        <f>+IF('Dimensional Change'!$A$1=A64,IF($L$7=TRUE,E64,C64),0)</f>
        <v>0</v>
      </c>
      <c r="M64" s="245">
        <f>+IF('Dimensional Change'!$A$1=A64,IF($L$7=TRUE,F64,D64),0)</f>
        <v>0</v>
      </c>
      <c r="N64" s="245">
        <f>+IF('Dimensional Change'!$A$2=A64,IF($L$7=TRUE,E64,C64),0)</f>
        <v>0</v>
      </c>
      <c r="O64" s="245">
        <f>+IF('Dimensional Change'!$A$2=A64,IF($L$7=TRUE,F64,D64),0)</f>
        <v>0</v>
      </c>
      <c r="P64" s="245">
        <f>+IF('Dimensional Change'!$A$3=A64,IF($L$7=TRUE,E64,C64),0)</f>
        <v>0</v>
      </c>
      <c r="Q64" s="245">
        <f>+IF('Dimensional Change'!$A$3=A64,IF($L$7=TRUE,F64,D64),0)</f>
        <v>0</v>
      </c>
      <c r="R64" s="245">
        <f>+IF('SG &amp; Density'!$B$9=A64,J64,0)</f>
        <v>0</v>
      </c>
      <c r="S64" s="245">
        <f>+IF('SG &amp; Density'!$B$18=A64,K64,0)</f>
        <v>0</v>
      </c>
      <c r="T64" s="245">
        <f>+IF('SG &amp; Density'!$B$9=A64,G64,0)</f>
        <v>0</v>
      </c>
      <c r="U64" s="245">
        <f>+IF('SG &amp; Density'!$B$18=A64,G64,0)</f>
        <v>0</v>
      </c>
      <c r="V64" s="245">
        <f>+IF('SG &amp; Density'!$B$10=A64,J64,0)</f>
        <v>0</v>
      </c>
      <c r="W64" s="245">
        <f>+IF('SG &amp; Density'!$B$19=A64,K64,0)</f>
        <v>0</v>
      </c>
      <c r="X64" s="245">
        <f>+IF('SG &amp; Density'!$B$10=A64,G64,0)</f>
        <v>0</v>
      </c>
      <c r="Y64" s="245">
        <f>+IF('SG &amp; Density'!$B$19=A64,G64,0)</f>
        <v>0</v>
      </c>
      <c r="Z64" s="10"/>
      <c r="AA64" s="306"/>
      <c r="AB64" s="306"/>
      <c r="AC64" s="306"/>
      <c r="AD64" s="306"/>
      <c r="AE64" s="306"/>
    </row>
    <row r="65" spans="1:31" ht="12.75">
      <c r="A65" s="255">
        <f t="shared" si="0"/>
        <v>57</v>
      </c>
      <c r="B65" s="258" t="s">
        <v>31</v>
      </c>
      <c r="C65" s="259">
        <v>4.9</v>
      </c>
      <c r="D65" s="259">
        <v>11.7</v>
      </c>
      <c r="E65" s="259">
        <v>0.00169</v>
      </c>
      <c r="F65" s="273">
        <v>0.00423</v>
      </c>
      <c r="G65" s="259">
        <v>17.3</v>
      </c>
      <c r="H65" s="259" t="s">
        <v>38</v>
      </c>
      <c r="I65" s="302" t="s">
        <v>38</v>
      </c>
      <c r="J65" s="290">
        <v>0.58</v>
      </c>
      <c r="K65" s="260" t="s">
        <v>38</v>
      </c>
      <c r="L65" s="245">
        <f>+IF('Dimensional Change'!$A$1=A65,IF($L$7=TRUE,E65,C65),0)</f>
        <v>0</v>
      </c>
      <c r="M65" s="245">
        <f>+IF('Dimensional Change'!$A$1=A65,IF($L$7=TRUE,F65,D65),0)</f>
        <v>0</v>
      </c>
      <c r="N65" s="245">
        <f>+IF('Dimensional Change'!$A$2=A65,IF($L$7=TRUE,E65,C65),0)</f>
        <v>0</v>
      </c>
      <c r="O65" s="245">
        <f>+IF('Dimensional Change'!$A$2=A65,IF($L$7=TRUE,F65,D65),0)</f>
        <v>0</v>
      </c>
      <c r="P65" s="245">
        <f>+IF('Dimensional Change'!$A$3=A65,IF($L$7=TRUE,E65,C65),0)</f>
        <v>0</v>
      </c>
      <c r="Q65" s="245">
        <f>+IF('Dimensional Change'!$A$3=A65,IF($L$7=TRUE,F65,D65),0)</f>
        <v>0</v>
      </c>
      <c r="R65" s="245">
        <f>+IF('SG &amp; Density'!$B$9=A65,J65,0)</f>
        <v>0</v>
      </c>
      <c r="S65" s="245">
        <f>+IF('SG &amp; Density'!$B$18=A65,K65,0)</f>
        <v>0</v>
      </c>
      <c r="T65" s="245">
        <f>+IF('SG &amp; Density'!$B$9=A65,G65,0)</f>
        <v>0</v>
      </c>
      <c r="U65" s="245">
        <f>+IF('SG &amp; Density'!$B$18=A65,G65,0)</f>
        <v>0</v>
      </c>
      <c r="V65" s="245">
        <f>+IF('SG &amp; Density'!$B$10=A65,J65,0)</f>
        <v>0</v>
      </c>
      <c r="W65" s="245">
        <f>+IF('SG &amp; Density'!$B$19=A65,K65,0)</f>
        <v>0</v>
      </c>
      <c r="X65" s="245">
        <f>+IF('SG &amp; Density'!$B$10=A65,G65,0)</f>
        <v>0</v>
      </c>
      <c r="Y65" s="245">
        <f>+IF('SG &amp; Density'!$B$19=A65,G65,0)</f>
        <v>0</v>
      </c>
      <c r="Z65" s="10"/>
      <c r="AA65" s="306"/>
      <c r="AB65" s="306"/>
      <c r="AC65" s="306"/>
      <c r="AD65" s="306"/>
      <c r="AE65" s="306"/>
    </row>
    <row r="66" spans="1:31" ht="12.75">
      <c r="A66" s="255">
        <f t="shared" si="0"/>
        <v>58</v>
      </c>
      <c r="B66" s="258" t="s">
        <v>133</v>
      </c>
      <c r="C66" s="259">
        <v>5.1</v>
      </c>
      <c r="D66" s="259">
        <v>8.7</v>
      </c>
      <c r="E66" s="259">
        <v>0.00176</v>
      </c>
      <c r="F66" s="273">
        <v>0.00308</v>
      </c>
      <c r="G66" s="259">
        <v>14.4</v>
      </c>
      <c r="H66" s="259">
        <v>87</v>
      </c>
      <c r="I66" s="302">
        <v>115</v>
      </c>
      <c r="J66" s="290">
        <v>0.46</v>
      </c>
      <c r="K66" s="260">
        <v>0.5</v>
      </c>
      <c r="L66" s="245">
        <f>+IF('Dimensional Change'!$A$1=A66,IF($L$7=TRUE,E66,C66),0)</f>
        <v>0</v>
      </c>
      <c r="M66" s="245">
        <f>+IF('Dimensional Change'!$A$1=A66,IF($L$7=TRUE,F66,D66),0)</f>
        <v>0</v>
      </c>
      <c r="N66" s="245">
        <f>+IF('Dimensional Change'!$A$2=A66,IF($L$7=TRUE,E66,C66),0)</f>
        <v>0</v>
      </c>
      <c r="O66" s="245">
        <f>+IF('Dimensional Change'!$A$2=A66,IF($L$7=TRUE,F66,D66),0)</f>
        <v>0</v>
      </c>
      <c r="P66" s="245">
        <f>+IF('Dimensional Change'!$A$3=A66,IF($L$7=TRUE,E66,C66),0)</f>
        <v>0</v>
      </c>
      <c r="Q66" s="245">
        <f>+IF('Dimensional Change'!$A$3=A66,IF($L$7=TRUE,F66,D66),0)</f>
        <v>0</v>
      </c>
      <c r="R66" s="245">
        <f>+IF('SG &amp; Density'!$B$9=A66,J66,0)</f>
        <v>0</v>
      </c>
      <c r="S66" s="245">
        <f>+IF('SG &amp; Density'!$B$18=A66,K66,0)</f>
        <v>0</v>
      </c>
      <c r="T66" s="245">
        <f>+IF('SG &amp; Density'!$B$9=A66,G66,0)</f>
        <v>0</v>
      </c>
      <c r="U66" s="245">
        <f>+IF('SG &amp; Density'!$B$18=A66,G66,0)</f>
        <v>0</v>
      </c>
      <c r="V66" s="245">
        <f>+IF('SG &amp; Density'!$B$10=A66,J66,0)</f>
        <v>0</v>
      </c>
      <c r="W66" s="245">
        <f>+IF('SG &amp; Density'!$B$19=A66,K66,0)</f>
        <v>0</v>
      </c>
      <c r="X66" s="245">
        <f>+IF('SG &amp; Density'!$B$10=A66,G66,0)</f>
        <v>0</v>
      </c>
      <c r="Y66" s="245">
        <f>+IF('SG &amp; Density'!$B$19=A66,G66,0)</f>
        <v>0</v>
      </c>
      <c r="Z66" s="10"/>
      <c r="AA66" s="306"/>
      <c r="AB66" s="306"/>
      <c r="AC66" s="306"/>
      <c r="AD66" s="306"/>
      <c r="AE66" s="306"/>
    </row>
    <row r="67" spans="1:31" ht="12.75">
      <c r="A67" s="255">
        <f t="shared" si="0"/>
        <v>59</v>
      </c>
      <c r="B67" s="258" t="s">
        <v>134</v>
      </c>
      <c r="C67" s="259">
        <v>4.2</v>
      </c>
      <c r="D67" s="259">
        <v>7.6</v>
      </c>
      <c r="E67" s="259">
        <v>0.00144</v>
      </c>
      <c r="F67" s="273">
        <v>0.00267</v>
      </c>
      <c r="G67" s="259">
        <v>12.5</v>
      </c>
      <c r="H67" s="259">
        <v>150</v>
      </c>
      <c r="I67" s="302">
        <v>116</v>
      </c>
      <c r="J67" s="290">
        <v>0.46</v>
      </c>
      <c r="K67" s="260">
        <v>0.5</v>
      </c>
      <c r="L67" s="245">
        <f>+IF('Dimensional Change'!$A$1=A67,IF($L$7=TRUE,E67,C67),0)</f>
        <v>0</v>
      </c>
      <c r="M67" s="245">
        <f>+IF('Dimensional Change'!$A$1=A67,IF($L$7=TRUE,F67,D67),0)</f>
        <v>0</v>
      </c>
      <c r="N67" s="245">
        <f>+IF('Dimensional Change'!$A$2=A67,IF($L$7=TRUE,E67,C67),0)</f>
        <v>0</v>
      </c>
      <c r="O67" s="245">
        <f>+IF('Dimensional Change'!$A$2=A67,IF($L$7=TRUE,F67,D67),0)</f>
        <v>0</v>
      </c>
      <c r="P67" s="245">
        <f>+IF('Dimensional Change'!$A$3=A67,IF($L$7=TRUE,E67,C67),0)</f>
        <v>0</v>
      </c>
      <c r="Q67" s="245">
        <f>+IF('Dimensional Change'!$A$3=A67,IF($L$7=TRUE,F67,D67),0)</f>
        <v>0</v>
      </c>
      <c r="R67" s="245">
        <f>+IF('SG &amp; Density'!$B$9=A67,J67,0)</f>
        <v>0</v>
      </c>
      <c r="S67" s="245">
        <f>+IF('SG &amp; Density'!$B$18=A67,K67,0)</f>
        <v>0</v>
      </c>
      <c r="T67" s="245">
        <f>+IF('SG &amp; Density'!$B$9=A67,G67,0)</f>
        <v>0</v>
      </c>
      <c r="U67" s="245">
        <f>+IF('SG &amp; Density'!$B$18=A67,G67,0)</f>
        <v>0</v>
      </c>
      <c r="V67" s="245">
        <f>+IF('SG &amp; Density'!$B$10=A67,J67,0)</f>
        <v>0</v>
      </c>
      <c r="W67" s="245">
        <f>+IF('SG &amp; Density'!$B$19=A67,K67,0)</f>
        <v>0</v>
      </c>
      <c r="X67" s="245">
        <f>+IF('SG &amp; Density'!$B$10=A67,G67,0)</f>
        <v>0</v>
      </c>
      <c r="Y67" s="245">
        <f>+IF('SG &amp; Density'!$B$19=A67,G67,0)</f>
        <v>0</v>
      </c>
      <c r="Z67" s="10"/>
      <c r="AA67" s="306"/>
      <c r="AB67" s="306"/>
      <c r="AC67" s="306"/>
      <c r="AD67" s="306"/>
      <c r="AE67" s="306"/>
    </row>
    <row r="68" spans="1:31" ht="12.75">
      <c r="A68" s="255">
        <f t="shared" si="0"/>
        <v>60</v>
      </c>
      <c r="B68" s="258" t="s">
        <v>32</v>
      </c>
      <c r="C68" s="259">
        <v>5.5</v>
      </c>
      <c r="D68" s="259">
        <v>7.8</v>
      </c>
      <c r="E68" s="259">
        <v>0.0019</v>
      </c>
      <c r="F68" s="273">
        <v>0.00274</v>
      </c>
      <c r="G68" s="259">
        <v>12.8</v>
      </c>
      <c r="H68" s="259">
        <v>90</v>
      </c>
      <c r="I68" s="302">
        <v>73</v>
      </c>
      <c r="J68" s="290">
        <v>0.51</v>
      </c>
      <c r="K68" s="260">
        <v>0.55</v>
      </c>
      <c r="L68" s="245">
        <f>+IF('Dimensional Change'!$A$1=A68,IF($L$7=TRUE,E68,C68),0)</f>
        <v>0</v>
      </c>
      <c r="M68" s="245">
        <f>+IF('Dimensional Change'!$A$1=A68,IF($L$7=TRUE,F68,D68),0)</f>
        <v>0</v>
      </c>
      <c r="N68" s="245">
        <f>+IF('Dimensional Change'!$A$2=A68,IF($L$7=TRUE,E68,C68),0)</f>
        <v>0</v>
      </c>
      <c r="O68" s="245">
        <f>+IF('Dimensional Change'!$A$2=A68,IF($L$7=TRUE,F68,D68),0)</f>
        <v>0</v>
      </c>
      <c r="P68" s="245">
        <f>+IF('Dimensional Change'!$A$3=A68,IF($L$7=TRUE,E68,C68),0)</f>
        <v>0</v>
      </c>
      <c r="Q68" s="245">
        <f>+IF('Dimensional Change'!$A$3=A68,IF($L$7=TRUE,F68,D68),0)</f>
        <v>0</v>
      </c>
      <c r="R68" s="245">
        <f>+IF('SG &amp; Density'!$B$9=A68,J68,0)</f>
        <v>0</v>
      </c>
      <c r="S68" s="245">
        <f>+IF('SG &amp; Density'!$B$18=A68,K68,0)</f>
        <v>0</v>
      </c>
      <c r="T68" s="245">
        <f>+IF('SG &amp; Density'!$B$9=A68,G68,0)</f>
        <v>0</v>
      </c>
      <c r="U68" s="245">
        <f>+IF('SG &amp; Density'!$B$18=A68,G68,0)</f>
        <v>0</v>
      </c>
      <c r="V68" s="245">
        <f>+IF('SG &amp; Density'!$B$10=A68,J68,0)</f>
        <v>0</v>
      </c>
      <c r="W68" s="245">
        <f>+IF('SG &amp; Density'!$B$19=A68,K68,0)</f>
        <v>0</v>
      </c>
      <c r="X68" s="245">
        <f>+IF('SG &amp; Density'!$B$10=A68,G68,0)</f>
        <v>0</v>
      </c>
      <c r="Y68" s="245">
        <f>+IF('SG &amp; Density'!$B$19=A68,G68,0)</f>
        <v>0</v>
      </c>
      <c r="Z68" s="10"/>
      <c r="AA68" s="306"/>
      <c r="AB68" s="306"/>
      <c r="AC68" s="306"/>
      <c r="AD68" s="306"/>
      <c r="AE68" s="306"/>
    </row>
    <row r="69" spans="1:31" ht="13.5" thickBot="1">
      <c r="A69" s="255">
        <f t="shared" si="0"/>
        <v>61</v>
      </c>
      <c r="B69" s="258" t="s">
        <v>33</v>
      </c>
      <c r="C69" s="259">
        <v>3.3</v>
      </c>
      <c r="D69" s="259">
        <v>8.7</v>
      </c>
      <c r="E69" s="277">
        <v>0.00112</v>
      </c>
      <c r="F69" s="278">
        <v>0.00308</v>
      </c>
      <c r="G69" s="277">
        <v>13.9</v>
      </c>
      <c r="H69" s="277" t="s">
        <v>38</v>
      </c>
      <c r="I69" s="303" t="s">
        <v>38</v>
      </c>
      <c r="J69" s="291">
        <v>0.36</v>
      </c>
      <c r="K69" s="279">
        <v>0.39</v>
      </c>
      <c r="L69" s="245">
        <f>+IF('Dimensional Change'!$A$1=A69,IF($L$7=TRUE,E69,C69),0)</f>
        <v>0</v>
      </c>
      <c r="M69" s="245">
        <f>+IF('Dimensional Change'!$A$1=A69,IF($L$7=TRUE,F69,D69),0)</f>
        <v>0</v>
      </c>
      <c r="N69" s="245">
        <f>+IF('Dimensional Change'!$A$2=A69,IF($L$7=TRUE,E69,C69),0)</f>
        <v>0</v>
      </c>
      <c r="O69" s="245">
        <f>+IF('Dimensional Change'!$A$2=A69,IF($L$7=TRUE,F69,D69),0)</f>
        <v>0</v>
      </c>
      <c r="P69" s="245">
        <f>+IF('Dimensional Change'!$A$3=A69,IF($L$7=TRUE,E69,C69),0)</f>
        <v>0</v>
      </c>
      <c r="Q69" s="245">
        <f>+IF('Dimensional Change'!$A$3=A69,IF($L$7=TRUE,F69,D69),0)</f>
        <v>0</v>
      </c>
      <c r="R69" s="245">
        <f>+IF('SG &amp; Density'!$B$9=A69,J69,0)</f>
        <v>0</v>
      </c>
      <c r="S69" s="245">
        <f>+IF('SG &amp; Density'!$B$18=A69,K69,0)</f>
        <v>0</v>
      </c>
      <c r="T69" s="245">
        <f>+IF('SG &amp; Density'!$B$9=A69,G69,0)</f>
        <v>0</v>
      </c>
      <c r="U69" s="245">
        <f>+IF('SG &amp; Density'!$B$18=A69,G69,0)</f>
        <v>0</v>
      </c>
      <c r="V69" s="245">
        <f>+IF('SG &amp; Density'!$B$10=A69,J69,0)</f>
        <v>0</v>
      </c>
      <c r="W69" s="245">
        <f>+IF('SG &amp; Density'!$B$19=A69,K69,0)</f>
        <v>0</v>
      </c>
      <c r="X69" s="245">
        <f>+IF('SG &amp; Density'!$B$10=A69,G69,0)</f>
        <v>0</v>
      </c>
      <c r="Y69" s="245">
        <f>+IF('SG &amp; Density'!$B$19=A69,G69,0)</f>
        <v>0</v>
      </c>
      <c r="Z69" s="10"/>
      <c r="AA69" s="306"/>
      <c r="AB69" s="306"/>
      <c r="AC69" s="306"/>
      <c r="AD69" s="306"/>
      <c r="AE69" s="306"/>
    </row>
    <row r="70" spans="1:31" ht="12.75">
      <c r="A70" s="255">
        <f t="shared" si="0"/>
        <v>62</v>
      </c>
      <c r="B70" s="256" t="s">
        <v>34</v>
      </c>
      <c r="C70" s="257">
        <v>3.8</v>
      </c>
      <c r="D70" s="257">
        <v>6.2</v>
      </c>
      <c r="E70" s="262">
        <v>0.0013</v>
      </c>
      <c r="F70" s="274">
        <v>0.00216</v>
      </c>
      <c r="G70" s="262">
        <v>10.5</v>
      </c>
      <c r="H70" s="262">
        <v>121</v>
      </c>
      <c r="I70" s="301">
        <v>171</v>
      </c>
      <c r="J70" s="289">
        <v>0.42</v>
      </c>
      <c r="K70" s="263">
        <v>0.46</v>
      </c>
      <c r="L70" s="245">
        <f>+IF('Dimensional Change'!$A$1=A70,IF($L$7=TRUE,E70,C70),0)</f>
        <v>0</v>
      </c>
      <c r="M70" s="245">
        <f>+IF('Dimensional Change'!$A$1=A70,IF($L$7=TRUE,F70,D70),0)</f>
        <v>0</v>
      </c>
      <c r="N70" s="245">
        <f>+IF('Dimensional Change'!$A$2=A70,IF($L$7=TRUE,E70,C70),0)</f>
        <v>0</v>
      </c>
      <c r="O70" s="245">
        <f>+IF('Dimensional Change'!$A$2=A70,IF($L$7=TRUE,F70,D70),0)</f>
        <v>0</v>
      </c>
      <c r="P70" s="245">
        <f>+IF('Dimensional Change'!$A$3=A70,IF($L$7=TRUE,E70,C70),0)</f>
        <v>0</v>
      </c>
      <c r="Q70" s="245">
        <f>+IF('Dimensional Change'!$A$3=A70,IF($L$7=TRUE,F70,D70),0)</f>
        <v>0</v>
      </c>
      <c r="R70" s="245">
        <f>+IF('SG &amp; Density'!$B$9=A70,J70,0)</f>
        <v>0</v>
      </c>
      <c r="S70" s="245">
        <f>+IF('SG &amp; Density'!$B$18=A70,K70,0)</f>
        <v>0</v>
      </c>
      <c r="T70" s="245">
        <f>+IF('SG &amp; Density'!$B$9=A70,G70,0)</f>
        <v>0</v>
      </c>
      <c r="U70" s="245">
        <f>+IF('SG &amp; Density'!$B$18=A70,G70,0)</f>
        <v>0</v>
      </c>
      <c r="V70" s="245">
        <f>+IF('SG &amp; Density'!$B$10=A70,J70,0)</f>
        <v>0</v>
      </c>
      <c r="W70" s="245">
        <f>+IF('SG &amp; Density'!$B$19=A70,K70,0)</f>
        <v>0</v>
      </c>
      <c r="X70" s="245">
        <f>+IF('SG &amp; Density'!$B$10=A70,G70,0)</f>
        <v>0</v>
      </c>
      <c r="Y70" s="245">
        <f>+IF('SG &amp; Density'!$B$19=A70,G70,0)</f>
        <v>0</v>
      </c>
      <c r="Z70" s="10"/>
      <c r="AA70" s="306"/>
      <c r="AB70" s="306"/>
      <c r="AC70" s="306"/>
      <c r="AD70" s="306"/>
      <c r="AE70" s="306"/>
    </row>
    <row r="71" spans="1:31" ht="12.75">
      <c r="A71" s="255">
        <f t="shared" si="0"/>
        <v>63</v>
      </c>
      <c r="B71" s="258" t="s">
        <v>136</v>
      </c>
      <c r="C71" s="259">
        <v>2.8</v>
      </c>
      <c r="D71" s="259">
        <v>6</v>
      </c>
      <c r="E71" s="259">
        <v>0.00095</v>
      </c>
      <c r="F71" s="273">
        <v>0.00208</v>
      </c>
      <c r="G71" s="259">
        <v>9.2</v>
      </c>
      <c r="H71" s="259">
        <v>32</v>
      </c>
      <c r="I71" s="302">
        <v>166</v>
      </c>
      <c r="J71" s="290">
        <v>0.42</v>
      </c>
      <c r="K71" s="260">
        <v>0.44</v>
      </c>
      <c r="L71" s="245">
        <f>+IF('Dimensional Change'!$A$1=A71,IF($L$7=TRUE,E71,C71),0)</f>
        <v>0</v>
      </c>
      <c r="M71" s="245">
        <f>+IF('Dimensional Change'!$A$1=A71,IF($L$7=TRUE,F71,D71),0)</f>
        <v>0</v>
      </c>
      <c r="N71" s="245">
        <f>+IF('Dimensional Change'!$A$2=A71,IF($L$7=TRUE,E71,C71),0)</f>
        <v>0</v>
      </c>
      <c r="O71" s="245">
        <f>+IF('Dimensional Change'!$A$2=A71,IF($L$7=TRUE,F71,D71),0)</f>
        <v>0</v>
      </c>
      <c r="P71" s="245">
        <f>+IF('Dimensional Change'!$A$3=A71,IF($L$7=TRUE,E71,C71),0)</f>
        <v>0</v>
      </c>
      <c r="Q71" s="245">
        <f>+IF('Dimensional Change'!$A$3=A71,IF($L$7=TRUE,F71,D71),0)</f>
        <v>0</v>
      </c>
      <c r="R71" s="245">
        <f>+IF('SG &amp; Density'!$B$9=A71,J71,0)</f>
        <v>0</v>
      </c>
      <c r="S71" s="245">
        <f>+IF('SG &amp; Density'!$B$18=A71,K71,0)</f>
        <v>0</v>
      </c>
      <c r="T71" s="245">
        <f>+IF('SG &amp; Density'!$B$9=A71,G71,0)</f>
        <v>0</v>
      </c>
      <c r="U71" s="245">
        <f>+IF('SG &amp; Density'!$B$18=A71,G71,0)</f>
        <v>0</v>
      </c>
      <c r="V71" s="245">
        <f>+IF('SG &amp; Density'!$B$10=A71,J71,0)</f>
        <v>0</v>
      </c>
      <c r="W71" s="245">
        <f>+IF('SG &amp; Density'!$B$19=A71,K71,0)</f>
        <v>0</v>
      </c>
      <c r="X71" s="245">
        <f>+IF('SG &amp; Density'!$B$10=A71,G71,0)</f>
        <v>0</v>
      </c>
      <c r="Y71" s="245">
        <f>+IF('SG &amp; Density'!$B$19=A71,G71,0)</f>
        <v>0</v>
      </c>
      <c r="Z71" s="10"/>
      <c r="AA71" s="306"/>
      <c r="AB71" s="306"/>
      <c r="AC71" s="306"/>
      <c r="AD71" s="306"/>
      <c r="AE71" s="306"/>
    </row>
    <row r="72" spans="1:31" ht="12.75">
      <c r="A72" s="255">
        <f t="shared" si="0"/>
        <v>64</v>
      </c>
      <c r="B72" s="258" t="s">
        <v>137</v>
      </c>
      <c r="C72" s="259">
        <v>2.9</v>
      </c>
      <c r="D72" s="259">
        <v>5.4</v>
      </c>
      <c r="E72" s="259">
        <v>0.00099</v>
      </c>
      <c r="F72" s="273">
        <v>0.00187</v>
      </c>
      <c r="G72" s="259">
        <v>8.8</v>
      </c>
      <c r="H72" s="259" t="s">
        <v>38</v>
      </c>
      <c r="I72" s="302" t="s">
        <v>38</v>
      </c>
      <c r="J72" s="290">
        <v>0.31</v>
      </c>
      <c r="K72" s="260">
        <v>0.32</v>
      </c>
      <c r="L72" s="245">
        <f>+IF('Dimensional Change'!$A$1=A72,IF($L$7=TRUE,E72,C72),0)</f>
        <v>0</v>
      </c>
      <c r="M72" s="245">
        <f>+IF('Dimensional Change'!$A$1=A72,IF($L$7=TRUE,F72,D72),0)</f>
        <v>0</v>
      </c>
      <c r="N72" s="245">
        <f>+IF('Dimensional Change'!$A$2=A72,IF($L$7=TRUE,E72,C72),0)</f>
        <v>0</v>
      </c>
      <c r="O72" s="245">
        <f>+IF('Dimensional Change'!$A$2=A72,IF($L$7=TRUE,F72,D72),0)</f>
        <v>0</v>
      </c>
      <c r="P72" s="245">
        <f>+IF('Dimensional Change'!$A$3=A72,IF($L$7=TRUE,E72,C72),0)</f>
        <v>0</v>
      </c>
      <c r="Q72" s="245">
        <f>+IF('Dimensional Change'!$A$3=A72,IF($L$7=TRUE,F72,D72),0)</f>
        <v>0</v>
      </c>
      <c r="R72" s="245">
        <f>+IF('SG &amp; Density'!$B$9=A72,J72,0)</f>
        <v>0</v>
      </c>
      <c r="S72" s="245">
        <f>+IF('SG &amp; Density'!$B$18=A72,K72,0)</f>
        <v>0</v>
      </c>
      <c r="T72" s="245">
        <f>+IF('SG &amp; Density'!$B$9=A72,G72,0)</f>
        <v>0</v>
      </c>
      <c r="U72" s="245">
        <f>+IF('SG &amp; Density'!$B$18=A72,G72,0)</f>
        <v>0</v>
      </c>
      <c r="V72" s="245">
        <f>+IF('SG &amp; Density'!$B$10=A72,J72,0)</f>
        <v>0</v>
      </c>
      <c r="W72" s="245">
        <f>+IF('SG &amp; Density'!$B$19=A72,K72,0)</f>
        <v>0</v>
      </c>
      <c r="X72" s="245">
        <f>+IF('SG &amp; Density'!$B$10=A72,G72,0)</f>
        <v>0</v>
      </c>
      <c r="Y72" s="245">
        <f>+IF('SG &amp; Density'!$B$19=A72,G72,0)</f>
        <v>0</v>
      </c>
      <c r="Z72" s="10"/>
      <c r="AA72" s="306"/>
      <c r="AB72" s="306"/>
      <c r="AC72" s="306"/>
      <c r="AD72" s="306"/>
      <c r="AE72" s="306"/>
    </row>
    <row r="73" spans="1:31" ht="12.75">
      <c r="A73" s="255">
        <f t="shared" si="0"/>
        <v>65</v>
      </c>
      <c r="B73" s="258" t="s">
        <v>139</v>
      </c>
      <c r="C73" s="259">
        <v>3.1</v>
      </c>
      <c r="D73" s="259">
        <v>4.7</v>
      </c>
      <c r="E73" s="259">
        <v>0.00106</v>
      </c>
      <c r="F73" s="273">
        <v>0.00162</v>
      </c>
      <c r="G73" s="259">
        <v>7.8</v>
      </c>
      <c r="H73" s="259">
        <v>33</v>
      </c>
      <c r="I73" s="302" t="s">
        <v>38</v>
      </c>
      <c r="J73" s="290">
        <v>0.44</v>
      </c>
      <c r="K73" s="260">
        <v>0.47</v>
      </c>
      <c r="L73" s="245">
        <f>+IF('Dimensional Change'!$A$1=A73,IF($L$7=TRUE,E73,C73),0)</f>
        <v>0</v>
      </c>
      <c r="M73" s="245">
        <f>+IF('Dimensional Change'!$A$1=A73,IF($L$7=TRUE,F73,D73),0)</f>
        <v>0</v>
      </c>
      <c r="N73" s="245">
        <f>+IF('Dimensional Change'!$A$2=A73,IF($L$7=TRUE,E73,C73),0)</f>
        <v>0</v>
      </c>
      <c r="O73" s="245">
        <f>+IF('Dimensional Change'!$A$2=A73,IF($L$7=TRUE,F73,D73),0)</f>
        <v>0</v>
      </c>
      <c r="P73" s="245">
        <f>+IF('Dimensional Change'!$A$3=A73,IF($L$7=TRUE,E73,C73),0)</f>
        <v>0</v>
      </c>
      <c r="Q73" s="245">
        <f>+IF('Dimensional Change'!$A$3=A73,IF($L$7=TRUE,F73,D73),0)</f>
        <v>0</v>
      </c>
      <c r="R73" s="245">
        <f>+IF('SG &amp; Density'!$B$9=A73,J73,0)</f>
        <v>0</v>
      </c>
      <c r="S73" s="245">
        <f>+IF('SG &amp; Density'!$B$18=A73,K73,0)</f>
        <v>0</v>
      </c>
      <c r="T73" s="245">
        <f>+IF('SG &amp; Density'!$B$9=A73,G73,0)</f>
        <v>0</v>
      </c>
      <c r="U73" s="245">
        <f>+IF('SG &amp; Density'!$B$18=A73,G73,0)</f>
        <v>0</v>
      </c>
      <c r="V73" s="245">
        <f>+IF('SG &amp; Density'!$B$10=A73,J73,0)</f>
        <v>0</v>
      </c>
      <c r="W73" s="245">
        <f>+IF('SG &amp; Density'!$B$19=A73,K73,0)</f>
        <v>0</v>
      </c>
      <c r="X73" s="245">
        <f>+IF('SG &amp; Density'!$B$10=A73,G73,0)</f>
        <v>0</v>
      </c>
      <c r="Y73" s="245">
        <f>+IF('SG &amp; Density'!$B$19=A73,G73,0)</f>
        <v>0</v>
      </c>
      <c r="Z73" s="10"/>
      <c r="AA73" s="306"/>
      <c r="AB73" s="306"/>
      <c r="AC73" s="306"/>
      <c r="AD73" s="306"/>
      <c r="AE73" s="306"/>
    </row>
    <row r="74" spans="1:31" ht="12.75">
      <c r="A74" s="255">
        <f t="shared" si="0"/>
        <v>66</v>
      </c>
      <c r="B74" s="258" t="s">
        <v>138</v>
      </c>
      <c r="C74" s="259">
        <v>3.3</v>
      </c>
      <c r="D74" s="259">
        <v>5.2</v>
      </c>
      <c r="E74" s="259">
        <v>0.00112</v>
      </c>
      <c r="F74" s="273">
        <v>0.0018</v>
      </c>
      <c r="G74" s="259">
        <v>7.7</v>
      </c>
      <c r="H74" s="259">
        <v>40</v>
      </c>
      <c r="I74" s="302">
        <v>213</v>
      </c>
      <c r="J74" s="290">
        <v>0.35</v>
      </c>
      <c r="K74" s="260">
        <v>0.37</v>
      </c>
      <c r="L74" s="245">
        <f>+IF('Dimensional Change'!$A$1=A74,IF($L$7=TRUE,E74,C74),0)</f>
        <v>0</v>
      </c>
      <c r="M74" s="245">
        <f>+IF('Dimensional Change'!$A$1=A74,IF($L$7=TRUE,F74,D74),0)</f>
        <v>0</v>
      </c>
      <c r="N74" s="245">
        <f>+IF('Dimensional Change'!$A$2=A74,IF($L$7=TRUE,E74,C74),0)</f>
        <v>0</v>
      </c>
      <c r="O74" s="245">
        <f>+IF('Dimensional Change'!$A$2=A74,IF($L$7=TRUE,F74,D74),0)</f>
        <v>0</v>
      </c>
      <c r="P74" s="245">
        <f>+IF('Dimensional Change'!$A$3=A74,IF($L$7=TRUE,E74,C74),0)</f>
        <v>0</v>
      </c>
      <c r="Q74" s="245">
        <f>+IF('Dimensional Change'!$A$3=A74,IF($L$7=TRUE,F74,D74),0)</f>
        <v>0</v>
      </c>
      <c r="R74" s="245">
        <f>+IF('SG &amp; Density'!$B$9=A74,J74,0)</f>
        <v>0</v>
      </c>
      <c r="S74" s="245">
        <f>+IF('SG &amp; Density'!$B$18=A74,K74,0)</f>
        <v>0</v>
      </c>
      <c r="T74" s="245">
        <f>+IF('SG &amp; Density'!$B$9=A74,G74,0)</f>
        <v>0</v>
      </c>
      <c r="U74" s="245">
        <f>+IF('SG &amp; Density'!$B$18=A74,G74,0)</f>
        <v>0</v>
      </c>
      <c r="V74" s="245">
        <f>+IF('SG &amp; Density'!$B$10=A74,J74,0)</f>
        <v>0</v>
      </c>
      <c r="W74" s="245">
        <f>+IF('SG &amp; Density'!$B$19=A74,K74,0)</f>
        <v>0</v>
      </c>
      <c r="X74" s="245">
        <f>+IF('SG &amp; Density'!$B$10=A74,G74,0)</f>
        <v>0</v>
      </c>
      <c r="Y74" s="245">
        <f>+IF('SG &amp; Density'!$B$19=A74,G74,0)</f>
        <v>0</v>
      </c>
      <c r="Z74" s="10"/>
      <c r="AA74" s="306"/>
      <c r="AB74" s="306"/>
      <c r="AC74" s="306"/>
      <c r="AD74" s="306"/>
      <c r="AE74" s="306"/>
    </row>
    <row r="75" spans="1:31" ht="12.75">
      <c r="A75" s="255">
        <f aca="true" t="shared" si="1" ref="A75:A121">+A74+1</f>
        <v>67</v>
      </c>
      <c r="B75" s="258" t="s">
        <v>140</v>
      </c>
      <c r="C75" s="259">
        <v>2.2</v>
      </c>
      <c r="D75" s="259">
        <v>4.9</v>
      </c>
      <c r="E75" s="259">
        <v>0.00101</v>
      </c>
      <c r="F75" s="273">
        <v>0.00229</v>
      </c>
      <c r="G75" s="259">
        <v>7.2</v>
      </c>
      <c r="H75" s="259" t="s">
        <v>38</v>
      </c>
      <c r="I75" s="302" t="s">
        <v>38</v>
      </c>
      <c r="J75" s="290">
        <v>0.29</v>
      </c>
      <c r="K75" s="260">
        <v>0.31</v>
      </c>
      <c r="L75" s="245">
        <f>+IF('Dimensional Change'!$A$1=A75,IF($L$7=TRUE,E75,C75),0)</f>
        <v>0</v>
      </c>
      <c r="M75" s="245">
        <f>+IF('Dimensional Change'!$A$1=A75,IF($L$7=TRUE,F75,D75),0)</f>
        <v>0</v>
      </c>
      <c r="N75" s="245">
        <f>+IF('Dimensional Change'!$A$2=A75,IF($L$7=TRUE,E75,C75),0)</f>
        <v>0</v>
      </c>
      <c r="O75" s="245">
        <f>+IF('Dimensional Change'!$A$2=A75,IF($L$7=TRUE,F75,D75),0)</f>
        <v>0</v>
      </c>
      <c r="P75" s="245">
        <f>+IF('Dimensional Change'!$A$3=A75,IF($L$7=TRUE,E75,C75),0)</f>
        <v>0</v>
      </c>
      <c r="Q75" s="245">
        <f>+IF('Dimensional Change'!$A$3=A75,IF($L$7=TRUE,F75,D75),0)</f>
        <v>0</v>
      </c>
      <c r="R75" s="245">
        <f>+IF('SG &amp; Density'!$B$9=A75,J75,0)</f>
        <v>0</v>
      </c>
      <c r="S75" s="245">
        <f>+IF('SG &amp; Density'!$B$18=A75,K75,0)</f>
        <v>0</v>
      </c>
      <c r="T75" s="245">
        <f>+IF('SG &amp; Density'!$B$9=A75,G75,0)</f>
        <v>0</v>
      </c>
      <c r="U75" s="245">
        <f>+IF('SG &amp; Density'!$B$18=A75,G75,0)</f>
        <v>0</v>
      </c>
      <c r="V75" s="245">
        <f>+IF('SG &amp; Density'!$B$10=A75,J75,0)</f>
        <v>0</v>
      </c>
      <c r="W75" s="245">
        <f>+IF('SG &amp; Density'!$B$19=A75,K75,0)</f>
        <v>0</v>
      </c>
      <c r="X75" s="245">
        <f>+IF('SG &amp; Density'!$B$10=A75,G75,0)</f>
        <v>0</v>
      </c>
      <c r="Y75" s="245">
        <f>+IF('SG &amp; Density'!$B$19=A75,G75,0)</f>
        <v>0</v>
      </c>
      <c r="Z75" s="10"/>
      <c r="AA75" s="306"/>
      <c r="AB75" s="306"/>
      <c r="AC75" s="306"/>
      <c r="AD75" s="306"/>
      <c r="AE75" s="306"/>
    </row>
    <row r="76" spans="1:31" ht="12.75">
      <c r="A76" s="255">
        <f t="shared" si="1"/>
        <v>68</v>
      </c>
      <c r="B76" s="258" t="s">
        <v>141</v>
      </c>
      <c r="C76" s="259">
        <v>4.6</v>
      </c>
      <c r="D76" s="259">
        <v>6.9</v>
      </c>
      <c r="E76" s="259">
        <v>0.00158</v>
      </c>
      <c r="F76" s="273">
        <v>0.00241</v>
      </c>
      <c r="G76" s="259">
        <v>10.1</v>
      </c>
      <c r="H76" s="259">
        <v>50</v>
      </c>
      <c r="I76" s="302">
        <v>98</v>
      </c>
      <c r="J76" s="290">
        <v>0.39</v>
      </c>
      <c r="K76" s="260">
        <v>0.43</v>
      </c>
      <c r="L76" s="245">
        <f>+IF('Dimensional Change'!$A$1=A76,IF($L$7=TRUE,E76,C76),0)</f>
        <v>0</v>
      </c>
      <c r="M76" s="245">
        <f>+IF('Dimensional Change'!$A$1=A76,IF($L$7=TRUE,F76,D76),0)</f>
        <v>0</v>
      </c>
      <c r="N76" s="245">
        <f>+IF('Dimensional Change'!$A$2=A76,IF($L$7=TRUE,E76,C76),0)</f>
        <v>0</v>
      </c>
      <c r="O76" s="245">
        <f>+IF('Dimensional Change'!$A$2=A76,IF($L$7=TRUE,F76,D76),0)</f>
        <v>0</v>
      </c>
      <c r="P76" s="245">
        <f>+IF('Dimensional Change'!$A$3=A76,IF($L$7=TRUE,E76,C76),0)</f>
        <v>0</v>
      </c>
      <c r="Q76" s="245">
        <f>+IF('Dimensional Change'!$A$3=A76,IF($L$7=TRUE,F76,D76),0)</f>
        <v>0</v>
      </c>
      <c r="R76" s="245">
        <f>+IF('SG &amp; Density'!$B$9=A76,J76,0)</f>
        <v>0</v>
      </c>
      <c r="S76" s="245">
        <f>+IF('SG &amp; Density'!$B$18=A76,K76,0)</f>
        <v>0</v>
      </c>
      <c r="T76" s="245">
        <f>+IF('SG &amp; Density'!$B$9=A76,G76,0)</f>
        <v>0</v>
      </c>
      <c r="U76" s="245">
        <f>+IF('SG &amp; Density'!$B$18=A76,G76,0)</f>
        <v>0</v>
      </c>
      <c r="V76" s="245">
        <f>+IF('SG &amp; Density'!$B$10=A76,J76,0)</f>
        <v>0</v>
      </c>
      <c r="W76" s="245">
        <f>+IF('SG &amp; Density'!$B$19=A76,K76,0)</f>
        <v>0</v>
      </c>
      <c r="X76" s="245">
        <f>+IF('SG &amp; Density'!$B$10=A76,G76,0)</f>
        <v>0</v>
      </c>
      <c r="Y76" s="245">
        <f>+IF('SG &amp; Density'!$B$19=A76,G76,0)</f>
        <v>0</v>
      </c>
      <c r="Z76" s="10"/>
      <c r="AA76" s="306"/>
      <c r="AB76" s="306"/>
      <c r="AC76" s="306"/>
      <c r="AD76" s="306"/>
      <c r="AE76" s="306"/>
    </row>
    <row r="77" spans="1:31" ht="12.75">
      <c r="A77" s="255">
        <f t="shared" si="1"/>
        <v>69</v>
      </c>
      <c r="B77" s="258" t="s">
        <v>142</v>
      </c>
      <c r="C77" s="259">
        <v>2.4</v>
      </c>
      <c r="D77" s="259">
        <v>5</v>
      </c>
      <c r="E77" s="259">
        <v>0.00111</v>
      </c>
      <c r="F77" s="273">
        <v>0.00234</v>
      </c>
      <c r="G77" s="259">
        <v>6.8</v>
      </c>
      <c r="H77" s="259">
        <v>58</v>
      </c>
      <c r="I77" s="302">
        <v>249</v>
      </c>
      <c r="J77" s="290">
        <v>0.31</v>
      </c>
      <c r="K77" s="260">
        <v>0.32</v>
      </c>
      <c r="L77" s="245">
        <f>+IF('Dimensional Change'!$A$1=A77,IF($L$7=TRUE,E77,C77),0)</f>
        <v>0</v>
      </c>
      <c r="M77" s="245">
        <f>+IF('Dimensional Change'!$A$1=A77,IF($L$7=TRUE,F77,D77),0)</f>
        <v>0</v>
      </c>
      <c r="N77" s="245">
        <f>+IF('Dimensional Change'!$A$2=A77,IF($L$7=TRUE,E77,C77),0)</f>
        <v>0</v>
      </c>
      <c r="O77" s="245">
        <f>+IF('Dimensional Change'!$A$2=A77,IF($L$7=TRUE,F77,D77),0)</f>
        <v>0</v>
      </c>
      <c r="P77" s="245">
        <f>+IF('Dimensional Change'!$A$3=A77,IF($L$7=TRUE,E77,C77),0)</f>
        <v>0</v>
      </c>
      <c r="Q77" s="245">
        <f>+IF('Dimensional Change'!$A$3=A77,IF($L$7=TRUE,F77,D77),0)</f>
        <v>0</v>
      </c>
      <c r="R77" s="245">
        <f>+IF('SG &amp; Density'!$B$9=A77,J77,0)</f>
        <v>0</v>
      </c>
      <c r="S77" s="245">
        <f>+IF('SG &amp; Density'!$B$18=A77,K77,0)</f>
        <v>0</v>
      </c>
      <c r="T77" s="245">
        <f>+IF('SG &amp; Density'!$B$9=A77,G77,0)</f>
        <v>0</v>
      </c>
      <c r="U77" s="245">
        <f>+IF('SG &amp; Density'!$B$18=A77,G77,0)</f>
        <v>0</v>
      </c>
      <c r="V77" s="245">
        <f>+IF('SG &amp; Density'!$B$10=A77,J77,0)</f>
        <v>0</v>
      </c>
      <c r="W77" s="245">
        <f>+IF('SG &amp; Density'!$B$19=A77,K77,0)</f>
        <v>0</v>
      </c>
      <c r="X77" s="245">
        <f>+IF('SG &amp; Density'!$B$10=A77,G77,0)</f>
        <v>0</v>
      </c>
      <c r="Y77" s="245">
        <f>+IF('SG &amp; Density'!$B$19=A77,G77,0)</f>
        <v>0</v>
      </c>
      <c r="Z77" s="10"/>
      <c r="AA77" s="306"/>
      <c r="AB77" s="306"/>
      <c r="AC77" s="306"/>
      <c r="AD77" s="306"/>
      <c r="AE77" s="306"/>
    </row>
    <row r="78" spans="1:31" ht="12.75">
      <c r="A78" s="255">
        <f t="shared" si="1"/>
        <v>70</v>
      </c>
      <c r="B78" s="337" t="s">
        <v>143</v>
      </c>
      <c r="C78" s="259">
        <v>4.8</v>
      </c>
      <c r="D78" s="259">
        <v>7.6</v>
      </c>
      <c r="E78" s="259">
        <v>0.00165</v>
      </c>
      <c r="F78" s="273">
        <v>0.00267</v>
      </c>
      <c r="G78" s="259">
        <v>12.4</v>
      </c>
      <c r="H78" s="259">
        <v>37</v>
      </c>
      <c r="I78" s="302">
        <v>115</v>
      </c>
      <c r="J78" s="290">
        <v>0.45</v>
      </c>
      <c r="K78" s="260">
        <v>0.48</v>
      </c>
      <c r="L78" s="245">
        <f>+IF('Dimensional Change'!$A$1=A78,IF($L$7=TRUE,E78,C78),0)</f>
        <v>0</v>
      </c>
      <c r="M78" s="245">
        <f>+IF('Dimensional Change'!$A$1=A78,IF($L$7=TRUE,F78,D78),0)</f>
        <v>0</v>
      </c>
      <c r="N78" s="245">
        <f>+IF('Dimensional Change'!$A$2=A78,IF($L$7=TRUE,E78,C78),0)</f>
        <v>0</v>
      </c>
      <c r="O78" s="245">
        <f>+IF('Dimensional Change'!$A$2=A78,IF($L$7=TRUE,F78,D78),0)</f>
        <v>0</v>
      </c>
      <c r="P78" s="245">
        <f>+IF('Dimensional Change'!$A$3=A78,IF($L$7=TRUE,E78,C78),0)</f>
        <v>0</v>
      </c>
      <c r="Q78" s="245">
        <f>+IF('Dimensional Change'!$A$3=A78,IF($L$7=TRUE,F78,D78),0)</f>
        <v>0</v>
      </c>
      <c r="R78" s="245">
        <f>+IF('SG &amp; Density'!$B$9=A78,J78,0)</f>
        <v>0</v>
      </c>
      <c r="S78" s="245">
        <f>+IF('SG &amp; Density'!$B$18=A78,K78,0)</f>
        <v>0</v>
      </c>
      <c r="T78" s="245">
        <f>+IF('SG &amp; Density'!$B$9=A78,G78,0)</f>
        <v>0</v>
      </c>
      <c r="U78" s="245">
        <f>+IF('SG &amp; Density'!$B$18=A78,G78,0)</f>
        <v>0</v>
      </c>
      <c r="V78" s="245">
        <f>+IF('SG &amp; Density'!$B$10=A78,J78,0)</f>
        <v>0</v>
      </c>
      <c r="W78" s="245">
        <f>+IF('SG &amp; Density'!$B$19=A78,K78,0)</f>
        <v>0.48</v>
      </c>
      <c r="X78" s="245">
        <f>+IF('SG &amp; Density'!$B$10=A78,G78,0)</f>
        <v>0</v>
      </c>
      <c r="Y78" s="245">
        <f>+IF('SG &amp; Density'!$B$19=A78,G78,0)</f>
        <v>12.4</v>
      </c>
      <c r="Z78" s="10"/>
      <c r="AA78" s="306"/>
      <c r="AB78" s="306"/>
      <c r="AC78" s="306"/>
      <c r="AD78" s="306"/>
      <c r="AE78" s="306"/>
    </row>
    <row r="79" spans="1:31" ht="12.75">
      <c r="A79" s="255">
        <f t="shared" si="1"/>
        <v>71</v>
      </c>
      <c r="B79" s="337" t="s">
        <v>144</v>
      </c>
      <c r="C79" s="259">
        <v>3.8</v>
      </c>
      <c r="D79" s="259">
        <v>6.9</v>
      </c>
      <c r="E79" s="259">
        <v>0.0013</v>
      </c>
      <c r="F79" s="273">
        <v>0.00241</v>
      </c>
      <c r="G79" s="259">
        <v>10.7</v>
      </c>
      <c r="H79" s="259" t="s">
        <v>38</v>
      </c>
      <c r="I79" s="302" t="s">
        <v>38</v>
      </c>
      <c r="J79" s="290">
        <v>0.45</v>
      </c>
      <c r="K79" s="260">
        <v>0.48</v>
      </c>
      <c r="L79" s="245">
        <f>+IF('Dimensional Change'!$A$1=A79,IF($L$7=TRUE,E79,C79),0)</f>
        <v>3.8</v>
      </c>
      <c r="M79" s="245">
        <f>+IF('Dimensional Change'!$A$1=A79,IF($L$7=TRUE,F79,D79),0)</f>
        <v>6.9</v>
      </c>
      <c r="N79" s="245">
        <f>+IF('Dimensional Change'!$A$2=A79,IF($L$7=TRUE,E79,C79),0)</f>
        <v>0</v>
      </c>
      <c r="O79" s="245">
        <f>+IF('Dimensional Change'!$A$2=A79,IF($L$7=TRUE,F79,D79),0)</f>
        <v>0</v>
      </c>
      <c r="P79" s="245">
        <f>+IF('Dimensional Change'!$A$3=A79,IF($L$7=TRUE,E79,C79),0)</f>
        <v>0</v>
      </c>
      <c r="Q79" s="245">
        <f>+IF('Dimensional Change'!$A$3=A79,IF($L$7=TRUE,F79,D79),0)</f>
        <v>0</v>
      </c>
      <c r="R79" s="245">
        <f>+IF('SG &amp; Density'!$B$9=A79,J79,0)</f>
        <v>0</v>
      </c>
      <c r="S79" s="245">
        <f>+IF('SG &amp; Density'!$B$18=A79,K79,0)</f>
        <v>0</v>
      </c>
      <c r="T79" s="245">
        <f>+IF('SG &amp; Density'!$B$9=A79,G79,0)</f>
        <v>0</v>
      </c>
      <c r="U79" s="245">
        <f>+IF('SG &amp; Density'!$B$18=A79,G79,0)</f>
        <v>0</v>
      </c>
      <c r="V79" s="245">
        <f>+IF('SG &amp; Density'!$B$10=A79,J79,0)</f>
        <v>0</v>
      </c>
      <c r="W79" s="245">
        <f>+IF('SG &amp; Density'!$B$19=A79,K79,0)</f>
        <v>0</v>
      </c>
      <c r="X79" s="245">
        <f>+IF('SG &amp; Density'!$B$10=A79,G79,0)</f>
        <v>0</v>
      </c>
      <c r="Y79" s="245">
        <f>+IF('SG &amp; Density'!$B$19=A79,G79,0)</f>
        <v>0</v>
      </c>
      <c r="Z79" s="10"/>
      <c r="AA79" s="306"/>
      <c r="AB79" s="306"/>
      <c r="AC79" s="306"/>
      <c r="AD79" s="306"/>
      <c r="AE79" s="306"/>
    </row>
    <row r="80" spans="1:31" ht="12.75">
      <c r="A80" s="255">
        <f t="shared" si="1"/>
        <v>72</v>
      </c>
      <c r="B80" s="337" t="s">
        <v>145</v>
      </c>
      <c r="C80" s="259">
        <v>4.8</v>
      </c>
      <c r="D80" s="259">
        <v>7.5</v>
      </c>
      <c r="E80" s="259">
        <v>0.00165</v>
      </c>
      <c r="F80" s="273">
        <v>0.00263</v>
      </c>
      <c r="G80" s="259">
        <v>11.8</v>
      </c>
      <c r="H80" s="259" t="s">
        <v>38</v>
      </c>
      <c r="I80" s="302" t="s">
        <v>38</v>
      </c>
      <c r="J80" s="290">
        <v>0.46</v>
      </c>
      <c r="K80" s="260">
        <v>0.5</v>
      </c>
      <c r="L80" s="245">
        <f>+IF('Dimensional Change'!$A$1=A80,IF($L$7=TRUE,E80,C80),0)</f>
        <v>0</v>
      </c>
      <c r="M80" s="245">
        <f>+IF('Dimensional Change'!$A$1=A80,IF($L$7=TRUE,F80,D80),0)</f>
        <v>0</v>
      </c>
      <c r="N80" s="245">
        <f>+IF('Dimensional Change'!$A$2=A80,IF($L$7=TRUE,E80,C80),0)</f>
        <v>0</v>
      </c>
      <c r="O80" s="245">
        <f>+IF('Dimensional Change'!$A$2=A80,IF($L$7=TRUE,F80,D80),0)</f>
        <v>0</v>
      </c>
      <c r="P80" s="245">
        <f>+IF('Dimensional Change'!$A$3=A80,IF($L$7=TRUE,E80,C80),0)</f>
        <v>0</v>
      </c>
      <c r="Q80" s="245">
        <f>+IF('Dimensional Change'!$A$3=A80,IF($L$7=TRUE,F80,D80),0)</f>
        <v>0</v>
      </c>
      <c r="R80" s="245">
        <f>+IF('SG &amp; Density'!$B$9=A80,J80,0)</f>
        <v>0</v>
      </c>
      <c r="S80" s="245">
        <f>+IF('SG &amp; Density'!$B$18=A80,K80,0)</f>
        <v>0</v>
      </c>
      <c r="T80" s="245">
        <f>+IF('SG &amp; Density'!$B$9=A80,G80,0)</f>
        <v>0</v>
      </c>
      <c r="U80" s="245">
        <f>+IF('SG &amp; Density'!$B$18=A80,G80,0)</f>
        <v>0</v>
      </c>
      <c r="V80" s="245">
        <f>+IF('SG &amp; Density'!$B$10=A80,J80,0)</f>
        <v>0</v>
      </c>
      <c r="W80" s="245">
        <f>+IF('SG &amp; Density'!$B$19=A80,K80,0)</f>
        <v>0</v>
      </c>
      <c r="X80" s="245">
        <f>+IF('SG &amp; Density'!$B$10=A80,G80,0)</f>
        <v>0</v>
      </c>
      <c r="Y80" s="245">
        <f>+IF('SG &amp; Density'!$B$19=A80,G80,0)</f>
        <v>0</v>
      </c>
      <c r="Z80" s="10"/>
      <c r="AA80" s="306"/>
      <c r="AB80" s="306"/>
      <c r="AC80" s="306"/>
      <c r="AD80" s="306"/>
      <c r="AE80" s="306"/>
    </row>
    <row r="81" spans="1:31" ht="12.75">
      <c r="A81" s="255">
        <f t="shared" si="1"/>
        <v>73</v>
      </c>
      <c r="B81" s="258" t="s">
        <v>146</v>
      </c>
      <c r="C81" s="259">
        <v>2.9</v>
      </c>
      <c r="D81" s="259">
        <v>6.9</v>
      </c>
      <c r="E81" s="259">
        <v>0.00099</v>
      </c>
      <c r="F81" s="273">
        <v>0.00241</v>
      </c>
      <c r="G81" s="259">
        <v>11.2</v>
      </c>
      <c r="H81" s="259" t="s">
        <v>38</v>
      </c>
      <c r="I81" s="302" t="s">
        <v>38</v>
      </c>
      <c r="J81" s="290">
        <v>0.33</v>
      </c>
      <c r="K81" s="260">
        <v>0.35</v>
      </c>
      <c r="L81" s="245">
        <f>+IF('Dimensional Change'!$A$1=A81,IF($L$7=TRUE,E81,C81),0)</f>
        <v>0</v>
      </c>
      <c r="M81" s="245">
        <f>+IF('Dimensional Change'!$A$1=A81,IF($L$7=TRUE,F81,D81),0)</f>
        <v>0</v>
      </c>
      <c r="N81" s="245">
        <f>+IF('Dimensional Change'!$A$2=A81,IF($L$7=TRUE,E81,C81),0)</f>
        <v>0</v>
      </c>
      <c r="O81" s="245">
        <f>+IF('Dimensional Change'!$A$2=A81,IF($L$7=TRUE,F81,D81),0)</f>
        <v>0</v>
      </c>
      <c r="P81" s="245">
        <f>+IF('Dimensional Change'!$A$3=A81,IF($L$7=TRUE,E81,C81),0)</f>
        <v>0</v>
      </c>
      <c r="Q81" s="245">
        <f>+IF('Dimensional Change'!$A$3=A81,IF($L$7=TRUE,F81,D81),0)</f>
        <v>0</v>
      </c>
      <c r="R81" s="245">
        <f>+IF('SG &amp; Density'!$B$9=A81,J81,0)</f>
        <v>0</v>
      </c>
      <c r="S81" s="245">
        <f>+IF('SG &amp; Density'!$B$18=A81,K81,0)</f>
        <v>0</v>
      </c>
      <c r="T81" s="245">
        <f>+IF('SG &amp; Density'!$B$9=A81,G81,0)</f>
        <v>0</v>
      </c>
      <c r="U81" s="245">
        <f>+IF('SG &amp; Density'!$B$18=A81,G81,0)</f>
        <v>0</v>
      </c>
      <c r="V81" s="245">
        <f>+IF('SG &amp; Density'!$B$10=A81,J81,0)</f>
        <v>0</v>
      </c>
      <c r="W81" s="245">
        <f>+IF('SG &amp; Density'!$B$19=A81,K81,0)</f>
        <v>0</v>
      </c>
      <c r="X81" s="245">
        <f>+IF('SG &amp; Density'!$B$10=A81,G81,0)</f>
        <v>0</v>
      </c>
      <c r="Y81" s="245">
        <f>+IF('SG &amp; Density'!$B$19=A81,G81,0)</f>
        <v>0</v>
      </c>
      <c r="Z81" s="10"/>
      <c r="AA81" s="306"/>
      <c r="AB81" s="306"/>
      <c r="AC81" s="306"/>
      <c r="AD81" s="306"/>
      <c r="AE81" s="306"/>
    </row>
    <row r="82" spans="1:31" ht="12.75">
      <c r="A82" s="255">
        <f t="shared" si="1"/>
        <v>74</v>
      </c>
      <c r="B82" s="258" t="s">
        <v>147</v>
      </c>
      <c r="C82" s="259">
        <v>4.5</v>
      </c>
      <c r="D82" s="259">
        <v>7.9</v>
      </c>
      <c r="E82" s="259">
        <v>0.00155</v>
      </c>
      <c r="F82" s="273">
        <v>0.00278</v>
      </c>
      <c r="G82" s="259">
        <v>11.4</v>
      </c>
      <c r="H82" s="259" t="s">
        <v>38</v>
      </c>
      <c r="I82" s="302" t="s">
        <v>38</v>
      </c>
      <c r="J82" s="290">
        <v>0.36</v>
      </c>
      <c r="K82" s="260">
        <v>0.38</v>
      </c>
      <c r="L82" s="245">
        <f>+IF('Dimensional Change'!$A$1=A82,IF($L$7=TRUE,E82,C82),0)</f>
        <v>0</v>
      </c>
      <c r="M82" s="245">
        <f>+IF('Dimensional Change'!$A$1=A82,IF($L$7=TRUE,F82,D82),0)</f>
        <v>0</v>
      </c>
      <c r="N82" s="245">
        <f>+IF('Dimensional Change'!$A$2=A82,IF($L$7=TRUE,E82,C82),0)</f>
        <v>0</v>
      </c>
      <c r="O82" s="245">
        <f>+IF('Dimensional Change'!$A$2=A82,IF($L$7=TRUE,F82,D82),0)</f>
        <v>0</v>
      </c>
      <c r="P82" s="245">
        <f>+IF('Dimensional Change'!$A$3=A82,IF($L$7=TRUE,E82,C82),0)</f>
        <v>0</v>
      </c>
      <c r="Q82" s="245">
        <f>+IF('Dimensional Change'!$A$3=A82,IF($L$7=TRUE,F82,D82),0)</f>
        <v>0</v>
      </c>
      <c r="R82" s="245">
        <f>+IF('SG &amp; Density'!$B$9=A82,J82,0)</f>
        <v>0</v>
      </c>
      <c r="S82" s="245">
        <f>+IF('SG &amp; Density'!$B$18=A82,K82,0)</f>
        <v>0</v>
      </c>
      <c r="T82" s="245">
        <f>+IF('SG &amp; Density'!$B$9=A82,G82,0)</f>
        <v>0</v>
      </c>
      <c r="U82" s="245">
        <f>+IF('SG &amp; Density'!$B$18=A82,G82,0)</f>
        <v>0</v>
      </c>
      <c r="V82" s="245">
        <f>+IF('SG &amp; Density'!$B$10=A82,J82,0)</f>
        <v>0</v>
      </c>
      <c r="W82" s="245">
        <f>+IF('SG &amp; Density'!$B$19=A82,K82,0)</f>
        <v>0</v>
      </c>
      <c r="X82" s="245">
        <f>+IF('SG &amp; Density'!$B$10=A82,G82,0)</f>
        <v>0</v>
      </c>
      <c r="Y82" s="245">
        <f>+IF('SG &amp; Density'!$B$19=A82,G82,0)</f>
        <v>0</v>
      </c>
      <c r="Z82" s="10"/>
      <c r="AA82" s="306"/>
      <c r="AB82" s="306"/>
      <c r="AC82" s="306"/>
      <c r="AD82" s="306"/>
      <c r="AE82" s="306"/>
    </row>
    <row r="83" spans="1:31" ht="12.75">
      <c r="A83" s="255">
        <f t="shared" si="1"/>
        <v>75</v>
      </c>
      <c r="B83" s="258" t="s">
        <v>148</v>
      </c>
      <c r="C83" s="259">
        <v>3.4</v>
      </c>
      <c r="D83" s="259">
        <v>7.5</v>
      </c>
      <c r="E83" s="259">
        <v>0.00112</v>
      </c>
      <c r="F83" s="273">
        <v>0.00245</v>
      </c>
      <c r="G83" s="259">
        <v>11</v>
      </c>
      <c r="H83" s="259">
        <v>91</v>
      </c>
      <c r="I83" s="302">
        <v>136</v>
      </c>
      <c r="J83" s="290">
        <v>0.35</v>
      </c>
      <c r="K83" s="260">
        <v>0.37</v>
      </c>
      <c r="L83" s="245">
        <f>+IF('Dimensional Change'!$A$1=A83,IF($L$7=TRUE,E83,C83),0)</f>
        <v>0</v>
      </c>
      <c r="M83" s="245">
        <f>+IF('Dimensional Change'!$A$1=A83,IF($L$7=TRUE,F83,D83),0)</f>
        <v>0</v>
      </c>
      <c r="N83" s="245">
        <f>+IF('Dimensional Change'!$A$2=A83,IF($L$7=TRUE,E83,C83),0)</f>
        <v>0</v>
      </c>
      <c r="O83" s="245">
        <f>+IF('Dimensional Change'!$A$2=A83,IF($L$7=TRUE,F83,D83),0)</f>
        <v>0</v>
      </c>
      <c r="P83" s="245">
        <f>+IF('Dimensional Change'!$A$3=A83,IF($L$7=TRUE,E83,C83),0)</f>
        <v>3.4</v>
      </c>
      <c r="Q83" s="245">
        <f>+IF('Dimensional Change'!$A$3=A83,IF($L$7=TRUE,F83,D83),0)</f>
        <v>7.5</v>
      </c>
      <c r="R83" s="245">
        <f>+IF('SG &amp; Density'!$B$9=A83,J83,0)</f>
        <v>0</v>
      </c>
      <c r="S83" s="245">
        <f>+IF('SG &amp; Density'!$B$18=A83,K83,0)</f>
        <v>0</v>
      </c>
      <c r="T83" s="245">
        <f>+IF('SG &amp; Density'!$B$9=A83,G83,0)</f>
        <v>0</v>
      </c>
      <c r="U83" s="245">
        <f>+IF('SG &amp; Density'!$B$18=A83,G83,0)</f>
        <v>0</v>
      </c>
      <c r="V83" s="245">
        <f>+IF('SG &amp; Density'!$B$10=A83,J83,0)</f>
        <v>0</v>
      </c>
      <c r="W83" s="245">
        <f>+IF('SG &amp; Density'!$B$19=A83,K83,0)</f>
        <v>0</v>
      </c>
      <c r="X83" s="245">
        <f>+IF('SG &amp; Density'!$B$10=A83,G83,0)</f>
        <v>0</v>
      </c>
      <c r="Y83" s="245">
        <f>+IF('SG &amp; Density'!$B$19=A83,G83,0)</f>
        <v>0</v>
      </c>
      <c r="Z83" s="10"/>
      <c r="AA83" s="306"/>
      <c r="AB83" s="306"/>
      <c r="AC83" s="306"/>
      <c r="AD83" s="306"/>
      <c r="AE83" s="306"/>
    </row>
    <row r="84" spans="1:31" ht="12.75">
      <c r="A84" s="255">
        <f t="shared" si="1"/>
        <v>76</v>
      </c>
      <c r="B84" s="258" t="s">
        <v>149</v>
      </c>
      <c r="C84" s="259">
        <v>4.3</v>
      </c>
      <c r="D84" s="259">
        <v>8.3</v>
      </c>
      <c r="E84" s="259">
        <v>0.00148</v>
      </c>
      <c r="F84" s="273">
        <v>0.00293</v>
      </c>
      <c r="G84" s="259">
        <v>12.4</v>
      </c>
      <c r="H84" s="259">
        <v>34</v>
      </c>
      <c r="I84" s="302">
        <v>115</v>
      </c>
      <c r="J84" s="290">
        <v>0.37</v>
      </c>
      <c r="K84" s="260">
        <v>0.39</v>
      </c>
      <c r="L84" s="245">
        <f>+IF('Dimensional Change'!$A$1=A84,IF($L$7=TRUE,E84,C84),0)</f>
        <v>0</v>
      </c>
      <c r="M84" s="245">
        <f>+IF('Dimensional Change'!$A$1=A84,IF($L$7=TRUE,F84,D84),0)</f>
        <v>0</v>
      </c>
      <c r="N84" s="245">
        <f>+IF('Dimensional Change'!$A$2=A84,IF($L$7=TRUE,E84,C84),0)</f>
        <v>0</v>
      </c>
      <c r="O84" s="245">
        <f>+IF('Dimensional Change'!$A$2=A84,IF($L$7=TRUE,F84,D84),0)</f>
        <v>0</v>
      </c>
      <c r="P84" s="245">
        <f>+IF('Dimensional Change'!$A$3=A84,IF($L$7=TRUE,E84,C84),0)</f>
        <v>0</v>
      </c>
      <c r="Q84" s="245">
        <f>+IF('Dimensional Change'!$A$3=A84,IF($L$7=TRUE,F84,D84),0)</f>
        <v>0</v>
      </c>
      <c r="R84" s="245">
        <f>+IF('SG &amp; Density'!$B$9=A84,J84,0)</f>
        <v>0</v>
      </c>
      <c r="S84" s="245">
        <f>+IF('SG &amp; Density'!$B$18=A84,K84,0)</f>
        <v>0</v>
      </c>
      <c r="T84" s="245">
        <f>+IF('SG &amp; Density'!$B$9=A84,G84,0)</f>
        <v>0</v>
      </c>
      <c r="U84" s="245">
        <f>+IF('SG &amp; Density'!$B$18=A84,G84,0)</f>
        <v>0</v>
      </c>
      <c r="V84" s="245">
        <f>+IF('SG &amp; Density'!$B$10=A84,J84,0)</f>
        <v>0</v>
      </c>
      <c r="W84" s="245">
        <f>+IF('SG &amp; Density'!$B$19=A84,K84,0)</f>
        <v>0</v>
      </c>
      <c r="X84" s="245">
        <f>+IF('SG &amp; Density'!$B$10=A84,G84,0)</f>
        <v>0</v>
      </c>
      <c r="Y84" s="245">
        <f>+IF('SG &amp; Density'!$B$19=A84,G84,0)</f>
        <v>0</v>
      </c>
      <c r="Z84" s="10"/>
      <c r="AA84" s="306"/>
      <c r="AB84" s="306"/>
      <c r="AC84" s="306"/>
      <c r="AD84" s="306"/>
      <c r="AE84" s="306"/>
    </row>
    <row r="85" spans="1:31" ht="12.75">
      <c r="A85" s="255">
        <f t="shared" si="1"/>
        <v>77</v>
      </c>
      <c r="B85" s="258" t="s">
        <v>150</v>
      </c>
      <c r="C85" s="259">
        <v>4.4</v>
      </c>
      <c r="D85" s="259">
        <v>9.2</v>
      </c>
      <c r="E85" s="259">
        <v>0.00151</v>
      </c>
      <c r="F85" s="273">
        <v>0.00327</v>
      </c>
      <c r="G85" s="259">
        <v>13</v>
      </c>
      <c r="H85" s="259">
        <v>55</v>
      </c>
      <c r="I85" s="302">
        <v>164</v>
      </c>
      <c r="J85" s="290">
        <v>0.4</v>
      </c>
      <c r="K85" s="260">
        <v>0.43</v>
      </c>
      <c r="L85" s="245">
        <f>+IF('Dimensional Change'!$A$1=A85,IF($L$7=TRUE,E85,C85),0)</f>
        <v>0</v>
      </c>
      <c r="M85" s="245">
        <f>+IF('Dimensional Change'!$A$1=A85,IF($L$7=TRUE,F85,D85),0)</f>
        <v>0</v>
      </c>
      <c r="N85" s="245">
        <f>+IF('Dimensional Change'!$A$2=A85,IF($L$7=TRUE,E85,C85),0)</f>
        <v>0</v>
      </c>
      <c r="O85" s="245">
        <f>+IF('Dimensional Change'!$A$2=A85,IF($L$7=TRUE,F85,D85),0)</f>
        <v>0</v>
      </c>
      <c r="P85" s="245">
        <f>+IF('Dimensional Change'!$A$3=A85,IF($L$7=TRUE,E85,C85),0)</f>
        <v>0</v>
      </c>
      <c r="Q85" s="245">
        <f>+IF('Dimensional Change'!$A$3=A85,IF($L$7=TRUE,F85,D85),0)</f>
        <v>0</v>
      </c>
      <c r="R85" s="245">
        <f>+IF('SG &amp; Density'!$B$9=A85,J85,0)</f>
        <v>0</v>
      </c>
      <c r="S85" s="245">
        <f>+IF('SG &amp; Density'!$B$18=A85,K85,0)</f>
        <v>0</v>
      </c>
      <c r="T85" s="245">
        <f>+IF('SG &amp; Density'!$B$9=A85,G85,0)</f>
        <v>0</v>
      </c>
      <c r="U85" s="245">
        <f>+IF('SG &amp; Density'!$B$18=A85,G85,0)</f>
        <v>0</v>
      </c>
      <c r="V85" s="245">
        <f>+IF('SG &amp; Density'!$B$10=A85,J85,0)</f>
        <v>0</v>
      </c>
      <c r="W85" s="245">
        <f>+IF('SG &amp; Density'!$B$19=A85,K85,0)</f>
        <v>0</v>
      </c>
      <c r="X85" s="245">
        <f>+IF('SG &amp; Density'!$B$10=A85,G85,0)</f>
        <v>0</v>
      </c>
      <c r="Y85" s="245">
        <f>+IF('SG &amp; Density'!$B$19=A85,G85,0)</f>
        <v>0</v>
      </c>
      <c r="Z85" s="10"/>
      <c r="AA85" s="306"/>
      <c r="AB85" s="306"/>
      <c r="AC85" s="306"/>
      <c r="AD85" s="306"/>
      <c r="AE85" s="306"/>
    </row>
    <row r="86" spans="1:31" ht="12.75">
      <c r="A86" s="255">
        <f t="shared" si="1"/>
        <v>78</v>
      </c>
      <c r="B86" s="258" t="s">
        <v>151</v>
      </c>
      <c r="C86" s="259">
        <v>2.6</v>
      </c>
      <c r="D86" s="259">
        <v>7.4</v>
      </c>
      <c r="E86" s="259">
        <v>0.00088</v>
      </c>
      <c r="F86" s="273">
        <v>0.00259</v>
      </c>
      <c r="G86" s="259">
        <v>9.4</v>
      </c>
      <c r="H86" s="259" t="s">
        <v>38</v>
      </c>
      <c r="I86" s="302" t="s">
        <v>38</v>
      </c>
      <c r="J86" s="290">
        <v>0.31</v>
      </c>
      <c r="K86" s="260">
        <v>0.32</v>
      </c>
      <c r="L86" s="245">
        <f>+IF('Dimensional Change'!$A$1=A86,IF($L$7=TRUE,E86,C86),0)</f>
        <v>0</v>
      </c>
      <c r="M86" s="245">
        <f>+IF('Dimensional Change'!$A$1=A86,IF($L$7=TRUE,F86,D86),0)</f>
        <v>0</v>
      </c>
      <c r="N86" s="245">
        <f>+IF('Dimensional Change'!$A$2=A86,IF($L$7=TRUE,E86,C86),0)</f>
        <v>0</v>
      </c>
      <c r="O86" s="245">
        <f>+IF('Dimensional Change'!$A$2=A86,IF($L$7=TRUE,F86,D86),0)</f>
        <v>0</v>
      </c>
      <c r="P86" s="245">
        <f>+IF('Dimensional Change'!$A$3=A86,IF($L$7=TRUE,E86,C86),0)</f>
        <v>0</v>
      </c>
      <c r="Q86" s="245">
        <f>+IF('Dimensional Change'!$A$3=A86,IF($L$7=TRUE,F86,D86),0)</f>
        <v>0</v>
      </c>
      <c r="R86" s="245">
        <f>+IF('SG &amp; Density'!$B$9=A86,J86,0)</f>
        <v>0</v>
      </c>
      <c r="S86" s="245">
        <f>+IF('SG &amp; Density'!$B$18=A86,K86,0)</f>
        <v>0</v>
      </c>
      <c r="T86" s="245">
        <f>+IF('SG &amp; Density'!$B$9=A86,G86,0)</f>
        <v>0</v>
      </c>
      <c r="U86" s="245">
        <f>+IF('SG &amp; Density'!$B$18=A86,G86,0)</f>
        <v>0</v>
      </c>
      <c r="V86" s="245">
        <f>+IF('SG &amp; Density'!$B$10=A86,J86,0)</f>
        <v>0</v>
      </c>
      <c r="W86" s="245">
        <f>+IF('SG &amp; Density'!$B$19=A86,K86,0)</f>
        <v>0</v>
      </c>
      <c r="X86" s="245">
        <f>+IF('SG &amp; Density'!$B$10=A86,G86,0)</f>
        <v>0</v>
      </c>
      <c r="Y86" s="245">
        <f>+IF('SG &amp; Density'!$B$19=A86,G86,0)</f>
        <v>0</v>
      </c>
      <c r="Z86" s="10"/>
      <c r="AA86" s="306"/>
      <c r="AB86" s="306"/>
      <c r="AC86" s="306"/>
      <c r="AD86" s="306"/>
      <c r="AE86" s="306"/>
    </row>
    <row r="87" spans="1:31" ht="12.75">
      <c r="A87" s="255">
        <f t="shared" si="1"/>
        <v>79</v>
      </c>
      <c r="B87" s="258" t="s">
        <v>152</v>
      </c>
      <c r="C87" s="259">
        <v>3.3</v>
      </c>
      <c r="D87" s="259">
        <v>7</v>
      </c>
      <c r="E87" s="259">
        <v>0.00112</v>
      </c>
      <c r="F87" s="273">
        <v>0.00245</v>
      </c>
      <c r="G87" s="259">
        <v>9.8</v>
      </c>
      <c r="H87" s="259">
        <v>98</v>
      </c>
      <c r="I87" s="302">
        <v>160</v>
      </c>
      <c r="J87" s="290">
        <v>0.37</v>
      </c>
      <c r="K87" s="260">
        <v>0.39</v>
      </c>
      <c r="L87" s="245">
        <f>+IF('Dimensional Change'!$A$1=A87,IF($L$7=TRUE,E87,C87),0)</f>
        <v>0</v>
      </c>
      <c r="M87" s="245">
        <f>+IF('Dimensional Change'!$A$1=A87,IF($L$7=TRUE,F87,D87),0)</f>
        <v>0</v>
      </c>
      <c r="N87" s="245">
        <f>+IF('Dimensional Change'!$A$2=A87,IF($L$7=TRUE,E87,C87),0)</f>
        <v>0</v>
      </c>
      <c r="O87" s="245">
        <f>+IF('Dimensional Change'!$A$2=A87,IF($L$7=TRUE,F87,D87),0)</f>
        <v>0</v>
      </c>
      <c r="P87" s="245">
        <f>+IF('Dimensional Change'!$A$3=A87,IF($L$7=TRUE,E87,C87),0)</f>
        <v>0</v>
      </c>
      <c r="Q87" s="245">
        <f>+IF('Dimensional Change'!$A$3=A87,IF($L$7=TRUE,F87,D87),0)</f>
        <v>0</v>
      </c>
      <c r="R87" s="245">
        <f>+IF('SG &amp; Density'!$B$9=A87,J87,0)</f>
        <v>0</v>
      </c>
      <c r="S87" s="245">
        <f>+IF('SG &amp; Density'!$B$18=A87,K87,0)</f>
        <v>0</v>
      </c>
      <c r="T87" s="245">
        <f>+IF('SG &amp; Density'!$B$9=A87,G87,0)</f>
        <v>0</v>
      </c>
      <c r="U87" s="245">
        <f>+IF('SG &amp; Density'!$B$18=A87,G87,0)</f>
        <v>0</v>
      </c>
      <c r="V87" s="245">
        <f>+IF('SG &amp; Density'!$B$10=A87,J87,0)</f>
        <v>0</v>
      </c>
      <c r="W87" s="245">
        <f>+IF('SG &amp; Density'!$B$19=A87,K87,0)</f>
        <v>0</v>
      </c>
      <c r="X87" s="245">
        <f>+IF('SG &amp; Density'!$B$10=A87,G87,0)</f>
        <v>0</v>
      </c>
      <c r="Y87" s="245">
        <f>+IF('SG &amp; Density'!$B$19=A87,G87,0)</f>
        <v>0</v>
      </c>
      <c r="Z87" s="10"/>
      <c r="AA87" s="306"/>
      <c r="AB87" s="306"/>
      <c r="AC87" s="306"/>
      <c r="AD87" s="306"/>
      <c r="AE87" s="306"/>
    </row>
    <row r="88" spans="1:31" ht="12.75">
      <c r="A88" s="255">
        <f t="shared" si="1"/>
        <v>80</v>
      </c>
      <c r="B88" s="258" t="s">
        <v>153</v>
      </c>
      <c r="C88" s="259">
        <v>3</v>
      </c>
      <c r="D88" s="259">
        <v>6.8</v>
      </c>
      <c r="E88" s="259">
        <v>0.00102</v>
      </c>
      <c r="F88" s="273">
        <v>0.00237</v>
      </c>
      <c r="G88" s="259">
        <v>9.7</v>
      </c>
      <c r="H88" s="259">
        <v>97</v>
      </c>
      <c r="I88" s="302">
        <v>119</v>
      </c>
      <c r="J88" s="290">
        <v>0.38</v>
      </c>
      <c r="K88" s="260">
        <v>0.4</v>
      </c>
      <c r="L88" s="245">
        <f>+IF('Dimensional Change'!$A$1=A88,IF($L$7=TRUE,E88,C88),0)</f>
        <v>0</v>
      </c>
      <c r="M88" s="245">
        <f>+IF('Dimensional Change'!$A$1=A88,IF($L$7=TRUE,F88,D88),0)</f>
        <v>0</v>
      </c>
      <c r="N88" s="245">
        <f>+IF('Dimensional Change'!$A$2=A88,IF($L$7=TRUE,E88,C88),0)</f>
        <v>0</v>
      </c>
      <c r="O88" s="245">
        <f>+IF('Dimensional Change'!$A$2=A88,IF($L$7=TRUE,F88,D88),0)</f>
        <v>0</v>
      </c>
      <c r="P88" s="245">
        <f>+IF('Dimensional Change'!$A$3=A88,IF($L$7=TRUE,E88,C88),0)</f>
        <v>0</v>
      </c>
      <c r="Q88" s="245">
        <f>+IF('Dimensional Change'!$A$3=A88,IF($L$7=TRUE,F88,D88),0)</f>
        <v>0</v>
      </c>
      <c r="R88" s="245">
        <f>+IF('SG &amp; Density'!$B$9=A88,J88,0)</f>
        <v>0</v>
      </c>
      <c r="S88" s="245">
        <f>+IF('SG &amp; Density'!$B$18=A88,K88,0)</f>
        <v>0</v>
      </c>
      <c r="T88" s="245">
        <f>+IF('SG &amp; Density'!$B$9=A88,G88,0)</f>
        <v>0</v>
      </c>
      <c r="U88" s="245">
        <f>+IF('SG &amp; Density'!$B$18=A88,G88,0)</f>
        <v>0</v>
      </c>
      <c r="V88" s="245">
        <f>+IF('SG &amp; Density'!$B$10=A88,J88,0)</f>
        <v>0</v>
      </c>
      <c r="W88" s="245">
        <f>+IF('SG &amp; Density'!$B$19=A88,K88,0)</f>
        <v>0</v>
      </c>
      <c r="X88" s="245">
        <f>+IF('SG &amp; Density'!$B$10=A88,G88,0)</f>
        <v>0</v>
      </c>
      <c r="Y88" s="245">
        <f>+IF('SG &amp; Density'!$B$19=A88,G88,0)</f>
        <v>0</v>
      </c>
      <c r="Z88" s="10"/>
      <c r="AA88" s="306"/>
      <c r="AB88" s="306"/>
      <c r="AC88" s="306"/>
      <c r="AD88" s="306"/>
      <c r="AE88" s="306"/>
    </row>
    <row r="89" spans="1:31" ht="12.75">
      <c r="A89" s="255">
        <f t="shared" si="1"/>
        <v>81</v>
      </c>
      <c r="B89" s="258" t="s">
        <v>154</v>
      </c>
      <c r="C89" s="259">
        <v>4.2</v>
      </c>
      <c r="D89" s="259">
        <v>7.8</v>
      </c>
      <c r="E89" s="259">
        <v>0.00144</v>
      </c>
      <c r="F89" s="273">
        <v>0.00274</v>
      </c>
      <c r="G89" s="259">
        <v>12.4</v>
      </c>
      <c r="H89" s="259">
        <v>85</v>
      </c>
      <c r="I89" s="302">
        <v>170</v>
      </c>
      <c r="J89" s="290">
        <v>0.42</v>
      </c>
      <c r="K89" s="260">
        <v>0.45</v>
      </c>
      <c r="L89" s="245">
        <f>+IF('Dimensional Change'!$A$1=A89,IF($L$7=TRUE,E89,C89),0)</f>
        <v>0</v>
      </c>
      <c r="M89" s="245">
        <f>+IF('Dimensional Change'!$A$1=A89,IF($L$7=TRUE,F89,D89),0)</f>
        <v>0</v>
      </c>
      <c r="N89" s="245">
        <f>+IF('Dimensional Change'!$A$2=A89,IF($L$7=TRUE,E89,C89),0)</f>
        <v>0</v>
      </c>
      <c r="O89" s="245">
        <f>+IF('Dimensional Change'!$A$2=A89,IF($L$7=TRUE,F89,D89),0)</f>
        <v>0</v>
      </c>
      <c r="P89" s="245">
        <f>+IF('Dimensional Change'!$A$3=A89,IF($L$7=TRUE,E89,C89),0)</f>
        <v>0</v>
      </c>
      <c r="Q89" s="245">
        <f>+IF('Dimensional Change'!$A$3=A89,IF($L$7=TRUE,F89,D89),0)</f>
        <v>0</v>
      </c>
      <c r="R89" s="245">
        <f>+IF('SG &amp; Density'!$B$9=A89,J89,0)</f>
        <v>0</v>
      </c>
      <c r="S89" s="245">
        <f>+IF('SG &amp; Density'!$B$18=A89,K89,0)</f>
        <v>0</v>
      </c>
      <c r="T89" s="245">
        <f>+IF('SG &amp; Density'!$B$9=A89,G89,0)</f>
        <v>0</v>
      </c>
      <c r="U89" s="245">
        <f>+IF('SG &amp; Density'!$B$18=A89,G89,0)</f>
        <v>0</v>
      </c>
      <c r="V89" s="245">
        <f>+IF('SG &amp; Density'!$B$10=A89,J89,0)</f>
        <v>0</v>
      </c>
      <c r="W89" s="245">
        <f>+IF('SG &amp; Density'!$B$19=A89,K89,0)</f>
        <v>0</v>
      </c>
      <c r="X89" s="245">
        <f>+IF('SG &amp; Density'!$B$10=A89,G89,0)</f>
        <v>0</v>
      </c>
      <c r="Y89" s="245">
        <f>+IF('SG &amp; Density'!$B$19=A89,G89,0)</f>
        <v>0</v>
      </c>
      <c r="Z89" s="10"/>
      <c r="AA89" s="306"/>
      <c r="AB89" s="306"/>
      <c r="AC89" s="306"/>
      <c r="AD89" s="306"/>
      <c r="AE89" s="306"/>
    </row>
    <row r="90" spans="1:31" ht="12.75">
      <c r="A90" s="255">
        <f t="shared" si="1"/>
        <v>82</v>
      </c>
      <c r="B90" s="258" t="s">
        <v>39</v>
      </c>
      <c r="C90" s="259">
        <v>3.3</v>
      </c>
      <c r="D90" s="259">
        <v>4.7</v>
      </c>
      <c r="E90" s="259">
        <v>0.00111</v>
      </c>
      <c r="F90" s="273">
        <v>0.00155</v>
      </c>
      <c r="G90" s="259">
        <v>7.95</v>
      </c>
      <c r="H90" s="259" t="s">
        <v>38</v>
      </c>
      <c r="I90" s="302" t="s">
        <v>38</v>
      </c>
      <c r="J90" s="290">
        <v>0.41</v>
      </c>
      <c r="K90" s="260">
        <v>0.44</v>
      </c>
      <c r="L90" s="245">
        <f>+IF('Dimensional Change'!$A$1=A90,IF($L$7=TRUE,E90,C90),0)</f>
        <v>0</v>
      </c>
      <c r="M90" s="245">
        <f>+IF('Dimensional Change'!$A$1=A90,IF($L$7=TRUE,F90,D90),0)</f>
        <v>0</v>
      </c>
      <c r="N90" s="245">
        <f>+IF('Dimensional Change'!$A$2=A90,IF($L$7=TRUE,E90,C90),0)</f>
        <v>0</v>
      </c>
      <c r="O90" s="245">
        <f>+IF('Dimensional Change'!$A$2=A90,IF($L$7=TRUE,F90,D90),0)</f>
        <v>0</v>
      </c>
      <c r="P90" s="245">
        <f>+IF('Dimensional Change'!$A$3=A90,IF($L$7=TRUE,E90,C90),0)</f>
        <v>0</v>
      </c>
      <c r="Q90" s="245">
        <f>+IF('Dimensional Change'!$A$3=A90,IF($L$7=TRUE,F90,D90),0)</f>
        <v>0</v>
      </c>
      <c r="R90" s="245">
        <f>+IF('SG &amp; Density'!$B$9=A90,J90,0)</f>
        <v>0.41</v>
      </c>
      <c r="S90" s="245">
        <f>+IF('SG &amp; Density'!$B$18=A90,K90,0)</f>
        <v>0</v>
      </c>
      <c r="T90" s="245">
        <f>+IF('SG &amp; Density'!$B$9=A90,G90,0)</f>
        <v>7.95</v>
      </c>
      <c r="U90" s="245">
        <f>+IF('SG &amp; Density'!$B$18=A90,G90,0)</f>
        <v>0</v>
      </c>
      <c r="V90" s="245">
        <f>+IF('SG &amp; Density'!$B$10=A90,J90,0)</f>
        <v>0</v>
      </c>
      <c r="W90" s="245">
        <f>+IF('SG &amp; Density'!$B$19=A90,K90,0)</f>
        <v>0</v>
      </c>
      <c r="X90" s="245">
        <f>+IF('SG &amp; Density'!$B$10=A90,G90,0)</f>
        <v>0</v>
      </c>
      <c r="Y90" s="245">
        <f>+IF('SG &amp; Density'!$B$19=A90,G90,0)</f>
        <v>0</v>
      </c>
      <c r="Z90" s="10"/>
      <c r="AA90" s="306"/>
      <c r="AB90" s="306"/>
      <c r="AC90" s="306"/>
      <c r="AD90" s="306"/>
      <c r="AE90" s="306"/>
    </row>
    <row r="91" spans="1:31" ht="12.75">
      <c r="A91" s="255">
        <f t="shared" si="1"/>
        <v>83</v>
      </c>
      <c r="B91" s="258" t="s">
        <v>35</v>
      </c>
      <c r="C91" s="259">
        <v>4.5</v>
      </c>
      <c r="D91" s="259">
        <v>9.1</v>
      </c>
      <c r="E91" s="259">
        <v>0.00155</v>
      </c>
      <c r="F91" s="273">
        <v>0.00323</v>
      </c>
      <c r="G91" s="259">
        <v>14</v>
      </c>
      <c r="H91" s="259">
        <v>54</v>
      </c>
      <c r="I91" s="302">
        <v>110</v>
      </c>
      <c r="J91" s="290">
        <v>0.48</v>
      </c>
      <c r="K91" s="260">
        <v>0.52</v>
      </c>
      <c r="L91" s="245">
        <f>+IF('Dimensional Change'!$A$1=A91,IF($L$7=TRUE,E91,C91),0)</f>
        <v>0</v>
      </c>
      <c r="M91" s="245">
        <f>+IF('Dimensional Change'!$A$1=A91,IF($L$7=TRUE,F91,D91),0)</f>
        <v>0</v>
      </c>
      <c r="N91" s="245">
        <f>+IF('Dimensional Change'!$A$2=A91,IF($L$7=TRUE,E91,C91),0)</f>
        <v>4.5</v>
      </c>
      <c r="O91" s="245">
        <f>+IF('Dimensional Change'!$A$2=A91,IF($L$7=TRUE,F91,D91),0)</f>
        <v>9.1</v>
      </c>
      <c r="P91" s="245">
        <f>+IF('Dimensional Change'!$A$3=A91,IF($L$7=TRUE,E91,C91),0)</f>
        <v>0</v>
      </c>
      <c r="Q91" s="245">
        <f>+IF('Dimensional Change'!$A$3=A91,IF($L$7=TRUE,F91,D91),0)</f>
        <v>0</v>
      </c>
      <c r="R91" s="245">
        <f>+IF('SG &amp; Density'!$B$9=A91,J91,0)</f>
        <v>0</v>
      </c>
      <c r="S91" s="245">
        <f>+IF('SG &amp; Density'!$B$18=A91,K91,0)</f>
        <v>0</v>
      </c>
      <c r="T91" s="245">
        <f>+IF('SG &amp; Density'!$B$9=A91,G91,0)</f>
        <v>0</v>
      </c>
      <c r="U91" s="245">
        <f>+IF('SG &amp; Density'!$B$18=A91,G91,0)</f>
        <v>0</v>
      </c>
      <c r="V91" s="245">
        <f>+IF('SG &amp; Density'!$B$10=A91,J91,0)</f>
        <v>0.48</v>
      </c>
      <c r="W91" s="245">
        <f>+IF('SG &amp; Density'!$B$19=A91,K91,0)</f>
        <v>0</v>
      </c>
      <c r="X91" s="245">
        <f>+IF('SG &amp; Density'!$B$10=A91,G91,0)</f>
        <v>14</v>
      </c>
      <c r="Y91" s="245">
        <f>+IF('SG &amp; Density'!$B$19=A91,G91,0)</f>
        <v>0</v>
      </c>
      <c r="Z91" s="10"/>
      <c r="AA91" s="306"/>
      <c r="AB91" s="306"/>
      <c r="AC91" s="306"/>
      <c r="AD91" s="306"/>
      <c r="AE91" s="306"/>
    </row>
    <row r="92" spans="1:31" ht="12.75">
      <c r="A92" s="255">
        <f t="shared" si="1"/>
        <v>84</v>
      </c>
      <c r="B92" s="258" t="s">
        <v>155</v>
      </c>
      <c r="C92" s="259">
        <v>2.1</v>
      </c>
      <c r="D92" s="259">
        <v>6.1</v>
      </c>
      <c r="E92" s="259">
        <v>0.00071</v>
      </c>
      <c r="F92" s="273">
        <v>0.00212</v>
      </c>
      <c r="G92" s="259">
        <v>8.2</v>
      </c>
      <c r="H92" s="259" t="s">
        <v>38</v>
      </c>
      <c r="I92" s="302" t="s">
        <v>38</v>
      </c>
      <c r="J92" s="290">
        <v>0.34</v>
      </c>
      <c r="K92" s="260">
        <v>0.35</v>
      </c>
      <c r="L92" s="245">
        <f>+IF('Dimensional Change'!$A$1=A92,IF($L$7=TRUE,E92,C92),0)</f>
        <v>0</v>
      </c>
      <c r="M92" s="245">
        <f>+IF('Dimensional Change'!$A$1=A92,IF($L$7=TRUE,F92,D92),0)</f>
        <v>0</v>
      </c>
      <c r="N92" s="245">
        <f>+IF('Dimensional Change'!$A$2=A92,IF($L$7=TRUE,E92,C92),0)</f>
        <v>0</v>
      </c>
      <c r="O92" s="245">
        <f>+IF('Dimensional Change'!$A$2=A92,IF($L$7=TRUE,F92,D92),0)</f>
        <v>0</v>
      </c>
      <c r="P92" s="245">
        <f>+IF('Dimensional Change'!$A$3=A92,IF($L$7=TRUE,E92,C92),0)</f>
        <v>0</v>
      </c>
      <c r="Q92" s="245">
        <f>+IF('Dimensional Change'!$A$3=A92,IF($L$7=TRUE,F92,D92),0)</f>
        <v>0</v>
      </c>
      <c r="R92" s="245">
        <f>+IF('SG &amp; Density'!$B$9=A92,J92,0)</f>
        <v>0</v>
      </c>
      <c r="S92" s="245">
        <f>+IF('SG &amp; Density'!$B$18=A92,K92,0)</f>
        <v>0</v>
      </c>
      <c r="T92" s="245">
        <f>+IF('SG &amp; Density'!$B$9=A92,G92,0)</f>
        <v>0</v>
      </c>
      <c r="U92" s="245">
        <f>+IF('SG &amp; Density'!$B$18=A92,G92,0)</f>
        <v>0</v>
      </c>
      <c r="V92" s="245">
        <f>+IF('SG &amp; Density'!$B$10=A92,J92,0)</f>
        <v>0</v>
      </c>
      <c r="W92" s="245">
        <f>+IF('SG &amp; Density'!$B$19=A92,K92,0)</f>
        <v>0</v>
      </c>
      <c r="X92" s="245">
        <f>+IF('SG &amp; Density'!$B$10=A92,G92,0)</f>
        <v>0</v>
      </c>
      <c r="Y92" s="245">
        <f>+IF('SG &amp; Density'!$B$19=A92,G92,0)</f>
        <v>0</v>
      </c>
      <c r="Z92" s="10"/>
      <c r="AA92" s="306"/>
      <c r="AB92" s="306"/>
      <c r="AC92" s="306"/>
      <c r="AD92" s="306"/>
      <c r="AE92" s="306"/>
    </row>
    <row r="93" spans="1:31" ht="12.75">
      <c r="A93" s="255">
        <f t="shared" si="1"/>
        <v>85</v>
      </c>
      <c r="B93" s="258" t="s">
        <v>156</v>
      </c>
      <c r="C93" s="259">
        <v>3.7</v>
      </c>
      <c r="D93" s="259">
        <v>6.6</v>
      </c>
      <c r="E93" s="259">
        <v>0.00126</v>
      </c>
      <c r="F93" s="273">
        <v>0.0023</v>
      </c>
      <c r="G93" s="259">
        <v>10.3</v>
      </c>
      <c r="H93" s="259" t="s">
        <v>38</v>
      </c>
      <c r="I93" s="302" t="s">
        <v>38</v>
      </c>
      <c r="J93" s="290">
        <v>0.4</v>
      </c>
      <c r="K93" s="260">
        <v>0.43</v>
      </c>
      <c r="L93" s="245">
        <f>+IF('Dimensional Change'!$A$1=A93,IF($L$7=TRUE,E93,C93),0)</f>
        <v>0</v>
      </c>
      <c r="M93" s="245">
        <f>+IF('Dimensional Change'!$A$1=A93,IF($L$7=TRUE,F93,D93),0)</f>
        <v>0</v>
      </c>
      <c r="N93" s="245">
        <f>+IF('Dimensional Change'!$A$2=A93,IF($L$7=TRUE,E93,C93),0)</f>
        <v>0</v>
      </c>
      <c r="O93" s="245">
        <f>+IF('Dimensional Change'!$A$2=A93,IF($L$7=TRUE,F93,D93),0)</f>
        <v>0</v>
      </c>
      <c r="P93" s="245">
        <f>+IF('Dimensional Change'!$A$3=A93,IF($L$7=TRUE,E93,C93),0)</f>
        <v>0</v>
      </c>
      <c r="Q93" s="245">
        <f>+IF('Dimensional Change'!$A$3=A93,IF($L$7=TRUE,F93,D93),0)</f>
        <v>0</v>
      </c>
      <c r="R93" s="245">
        <f>+IF('SG &amp; Density'!$B$9=A93,J93,0)</f>
        <v>0</v>
      </c>
      <c r="S93" s="245">
        <f>+IF('SG &amp; Density'!$B$18=A93,K93,0)</f>
        <v>0</v>
      </c>
      <c r="T93" s="245">
        <f>+IF('SG &amp; Density'!$B$9=A93,G93,0)</f>
        <v>0</v>
      </c>
      <c r="U93" s="245">
        <f>+IF('SG &amp; Density'!$B$18=A93,G93,0)</f>
        <v>0</v>
      </c>
      <c r="V93" s="245">
        <f>+IF('SG &amp; Density'!$B$10=A93,J93,0)</f>
        <v>0</v>
      </c>
      <c r="W93" s="245">
        <f>+IF('SG &amp; Density'!$B$19=A93,K93,0)</f>
        <v>0</v>
      </c>
      <c r="X93" s="245">
        <f>+IF('SG &amp; Density'!$B$10=A93,G93,0)</f>
        <v>0</v>
      </c>
      <c r="Y93" s="245">
        <f>+IF('SG &amp; Density'!$B$19=A93,G93,0)</f>
        <v>0</v>
      </c>
      <c r="Z93" s="10"/>
      <c r="AA93" s="306"/>
      <c r="AB93" s="306"/>
      <c r="AC93" s="306"/>
      <c r="AD93" s="306"/>
      <c r="AE93" s="306"/>
    </row>
    <row r="94" spans="1:31" ht="12.75">
      <c r="A94" s="255">
        <f t="shared" si="1"/>
        <v>86</v>
      </c>
      <c r="B94" s="258" t="s">
        <v>157</v>
      </c>
      <c r="C94" s="259">
        <v>4.8</v>
      </c>
      <c r="D94" s="259">
        <v>7.4</v>
      </c>
      <c r="E94" s="259">
        <v>0.00165</v>
      </c>
      <c r="F94" s="273">
        <v>0.00259</v>
      </c>
      <c r="G94" s="259">
        <v>12.3</v>
      </c>
      <c r="H94" s="259">
        <v>33</v>
      </c>
      <c r="I94" s="302">
        <v>110</v>
      </c>
      <c r="J94" s="290">
        <v>0.47</v>
      </c>
      <c r="K94" s="260">
        <v>0.51</v>
      </c>
      <c r="L94" s="245">
        <f>+IF('Dimensional Change'!$A$1=A94,IF($L$7=TRUE,E94,C94),0)</f>
        <v>0</v>
      </c>
      <c r="M94" s="245">
        <f>+IF('Dimensional Change'!$A$1=A94,IF($L$7=TRUE,F94,D94),0)</f>
        <v>0</v>
      </c>
      <c r="N94" s="245">
        <f>+IF('Dimensional Change'!$A$2=A94,IF($L$7=TRUE,E94,C94),0)</f>
        <v>0</v>
      </c>
      <c r="O94" s="245">
        <f>+IF('Dimensional Change'!$A$2=A94,IF($L$7=TRUE,F94,D94),0)</f>
        <v>0</v>
      </c>
      <c r="P94" s="245">
        <f>+IF('Dimensional Change'!$A$3=A94,IF($L$7=TRUE,E94,C94),0)</f>
        <v>0</v>
      </c>
      <c r="Q94" s="245">
        <f>+IF('Dimensional Change'!$A$3=A94,IF($L$7=TRUE,F94,D94),0)</f>
        <v>0</v>
      </c>
      <c r="R94" s="245">
        <f>+IF('SG &amp; Density'!$B$9=A94,J94,0)</f>
        <v>0</v>
      </c>
      <c r="S94" s="245">
        <f>+IF('SG &amp; Density'!$B$18=A94,K94,0)</f>
        <v>0</v>
      </c>
      <c r="T94" s="245">
        <f>+IF('SG &amp; Density'!$B$9=A94,G94,0)</f>
        <v>0</v>
      </c>
      <c r="U94" s="245">
        <f>+IF('SG &amp; Density'!$B$18=A94,G94,0)</f>
        <v>0</v>
      </c>
      <c r="V94" s="245">
        <f>+IF('SG &amp; Density'!$B$10=A94,J94,0)</f>
        <v>0</v>
      </c>
      <c r="W94" s="245">
        <f>+IF('SG &amp; Density'!$B$19=A94,K94,0)</f>
        <v>0</v>
      </c>
      <c r="X94" s="245">
        <f>+IF('SG &amp; Density'!$B$10=A94,G94,0)</f>
        <v>0</v>
      </c>
      <c r="Y94" s="245">
        <f>+IF('SG &amp; Density'!$B$19=A94,G94,0)</f>
        <v>0</v>
      </c>
      <c r="Z94" s="10"/>
      <c r="AA94" s="306"/>
      <c r="AB94" s="306"/>
      <c r="AC94" s="306"/>
      <c r="AD94" s="306"/>
      <c r="AE94" s="306"/>
    </row>
    <row r="95" spans="1:31" ht="12.75">
      <c r="A95" s="255">
        <f t="shared" si="1"/>
        <v>87</v>
      </c>
      <c r="B95" s="258" t="s">
        <v>158</v>
      </c>
      <c r="C95" s="259">
        <v>4.3</v>
      </c>
      <c r="D95" s="259">
        <v>6.7</v>
      </c>
      <c r="E95" s="259">
        <v>0.00148</v>
      </c>
      <c r="F95" s="273">
        <v>0.00234</v>
      </c>
      <c r="G95" s="259">
        <v>11.1</v>
      </c>
      <c r="H95" s="259">
        <v>41</v>
      </c>
      <c r="I95" s="302">
        <v>120</v>
      </c>
      <c r="J95" s="290">
        <v>0.38</v>
      </c>
      <c r="K95" s="260">
        <v>0.41</v>
      </c>
      <c r="L95" s="245">
        <f>+IF('Dimensional Change'!$A$1=A95,IF($L$7=TRUE,E95,C95),0)</f>
        <v>0</v>
      </c>
      <c r="M95" s="245">
        <f>+IF('Dimensional Change'!$A$1=A95,IF($L$7=TRUE,F95,D95),0)</f>
        <v>0</v>
      </c>
      <c r="N95" s="245">
        <f>+IF('Dimensional Change'!$A$2=A95,IF($L$7=TRUE,E95,C95),0)</f>
        <v>0</v>
      </c>
      <c r="O95" s="245">
        <f>+IF('Dimensional Change'!$A$2=A95,IF($L$7=TRUE,F95,D95),0)</f>
        <v>0</v>
      </c>
      <c r="P95" s="245">
        <f>+IF('Dimensional Change'!$A$3=A95,IF($L$7=TRUE,E95,C95),0)</f>
        <v>0</v>
      </c>
      <c r="Q95" s="245">
        <f>+IF('Dimensional Change'!$A$3=A95,IF($L$7=TRUE,F95,D95),0)</f>
        <v>0</v>
      </c>
      <c r="R95" s="245">
        <f>+IF('SG &amp; Density'!$B$9=A95,J95,0)</f>
        <v>0</v>
      </c>
      <c r="S95" s="245">
        <f>+IF('SG &amp; Density'!$B$18=A95,K95,0)</f>
        <v>0</v>
      </c>
      <c r="T95" s="245">
        <f>+IF('SG &amp; Density'!$B$9=A95,G95,0)</f>
        <v>0</v>
      </c>
      <c r="U95" s="245">
        <f>+IF('SG &amp; Density'!$B$18=A95,G95,0)</f>
        <v>0</v>
      </c>
      <c r="V95" s="245">
        <f>+IF('SG &amp; Density'!$B$10=A95,J95,0)</f>
        <v>0</v>
      </c>
      <c r="W95" s="245">
        <f>+IF('SG &amp; Density'!$B$19=A95,K95,0)</f>
        <v>0</v>
      </c>
      <c r="X95" s="245">
        <f>+IF('SG &amp; Density'!$B$10=A95,G95,0)</f>
        <v>0</v>
      </c>
      <c r="Y95" s="245">
        <f>+IF('SG &amp; Density'!$B$19=A95,G95,0)</f>
        <v>0</v>
      </c>
      <c r="Z95" s="10"/>
      <c r="AA95" s="306"/>
      <c r="AB95" s="306"/>
      <c r="AC95" s="306"/>
      <c r="AD95" s="306"/>
      <c r="AE95" s="306"/>
    </row>
    <row r="96" spans="1:31" ht="12.75">
      <c r="A96" s="255">
        <f t="shared" si="1"/>
        <v>88</v>
      </c>
      <c r="B96" s="258" t="s">
        <v>159</v>
      </c>
      <c r="C96" s="259">
        <v>5.1</v>
      </c>
      <c r="D96" s="259">
        <v>7.5</v>
      </c>
      <c r="E96" s="259">
        <v>0.00176</v>
      </c>
      <c r="F96" s="273">
        <v>0.00263</v>
      </c>
      <c r="G96" s="259">
        <v>12.2</v>
      </c>
      <c r="H96" s="259">
        <v>31</v>
      </c>
      <c r="I96" s="302">
        <v>106</v>
      </c>
      <c r="J96" s="290">
        <v>0.54</v>
      </c>
      <c r="K96" s="260">
        <v>0.59</v>
      </c>
      <c r="L96" s="245">
        <f>+IF('Dimensional Change'!$A$1=A96,IF($L$7=TRUE,E96,C96),0)</f>
        <v>0</v>
      </c>
      <c r="M96" s="245">
        <f>+IF('Dimensional Change'!$A$1=A96,IF($L$7=TRUE,F96,D96),0)</f>
        <v>0</v>
      </c>
      <c r="N96" s="245">
        <f>+IF('Dimensional Change'!$A$2=A96,IF($L$7=TRUE,E96,C96),0)</f>
        <v>0</v>
      </c>
      <c r="O96" s="245">
        <f>+IF('Dimensional Change'!$A$2=A96,IF($L$7=TRUE,F96,D96),0)</f>
        <v>0</v>
      </c>
      <c r="P96" s="245">
        <f>+IF('Dimensional Change'!$A$3=A96,IF($L$7=TRUE,E96,C96),0)</f>
        <v>0</v>
      </c>
      <c r="Q96" s="245">
        <f>+IF('Dimensional Change'!$A$3=A96,IF($L$7=TRUE,F96,D96),0)</f>
        <v>0</v>
      </c>
      <c r="R96" s="245">
        <f>+IF('SG &amp; Density'!$B$9=A96,J96,0)</f>
        <v>0</v>
      </c>
      <c r="S96" s="245">
        <f>+IF('SG &amp; Density'!$B$18=A96,K96,0)</f>
        <v>0</v>
      </c>
      <c r="T96" s="245">
        <f>+IF('SG &amp; Density'!$B$9=A96,G96,0)</f>
        <v>0</v>
      </c>
      <c r="U96" s="245">
        <f>+IF('SG &amp; Density'!$B$18=A96,G96,0)</f>
        <v>0</v>
      </c>
      <c r="V96" s="245">
        <f>+IF('SG &amp; Density'!$B$10=A96,J96,0)</f>
        <v>0</v>
      </c>
      <c r="W96" s="245">
        <f>+IF('SG &amp; Density'!$B$19=A96,K96,0)</f>
        <v>0</v>
      </c>
      <c r="X96" s="245">
        <f>+IF('SG &amp; Density'!$B$10=A96,G96,0)</f>
        <v>0</v>
      </c>
      <c r="Y96" s="245">
        <f>+IF('SG &amp; Density'!$B$19=A96,G96,0)</f>
        <v>0</v>
      </c>
      <c r="Z96" s="10"/>
      <c r="AA96" s="306"/>
      <c r="AB96" s="306"/>
      <c r="AC96" s="306"/>
      <c r="AD96" s="306"/>
      <c r="AE96" s="306"/>
    </row>
    <row r="97" spans="1:31" ht="12.75">
      <c r="A97" s="255">
        <f t="shared" si="1"/>
        <v>89</v>
      </c>
      <c r="B97" s="258" t="s">
        <v>160</v>
      </c>
      <c r="C97" s="259">
        <v>5.1</v>
      </c>
      <c r="D97" s="259">
        <v>7.1</v>
      </c>
      <c r="E97" s="259">
        <v>0.00165</v>
      </c>
      <c r="F97" s="273">
        <v>0.00259</v>
      </c>
      <c r="G97" s="259">
        <v>11.2</v>
      </c>
      <c r="H97" s="259" t="s">
        <v>38</v>
      </c>
      <c r="I97" s="302" t="s">
        <v>38</v>
      </c>
      <c r="J97" s="290">
        <v>0.51</v>
      </c>
      <c r="K97" s="260">
        <v>0.56</v>
      </c>
      <c r="L97" s="245">
        <f>+IF('Dimensional Change'!$A$1=A97,IF($L$7=TRUE,E97,C97),0)</f>
        <v>0</v>
      </c>
      <c r="M97" s="245">
        <f>+IF('Dimensional Change'!$A$1=A97,IF($L$7=TRUE,F97,D97),0)</f>
        <v>0</v>
      </c>
      <c r="N97" s="245">
        <f>+IF('Dimensional Change'!$A$2=A97,IF($L$7=TRUE,E97,C97),0)</f>
        <v>0</v>
      </c>
      <c r="O97" s="245">
        <f>+IF('Dimensional Change'!$A$2=A97,IF($L$7=TRUE,F97,D97),0)</f>
        <v>0</v>
      </c>
      <c r="P97" s="245">
        <f>+IF('Dimensional Change'!$A$3=A97,IF($L$7=TRUE,E97,C97),0)</f>
        <v>0</v>
      </c>
      <c r="Q97" s="245">
        <f>+IF('Dimensional Change'!$A$3=A97,IF($L$7=TRUE,F97,D97),0)</f>
        <v>0</v>
      </c>
      <c r="R97" s="245">
        <f>+IF('SG &amp; Density'!$B$9=A97,J97,0)</f>
        <v>0</v>
      </c>
      <c r="S97" s="245">
        <f>+IF('SG &amp; Density'!$B$18=A97,K97,0)</f>
        <v>0</v>
      </c>
      <c r="T97" s="245">
        <f>+IF('SG &amp; Density'!$B$9=A97,G97,0)</f>
        <v>0</v>
      </c>
      <c r="U97" s="245">
        <f>+IF('SG &amp; Density'!$B$18=A97,G97,0)</f>
        <v>0</v>
      </c>
      <c r="V97" s="245">
        <f>+IF('SG &amp; Density'!$B$10=A97,J97,0)</f>
        <v>0</v>
      </c>
      <c r="W97" s="245">
        <f>+IF('SG &amp; Density'!$B$19=A97,K97,0)</f>
        <v>0</v>
      </c>
      <c r="X97" s="245">
        <f>+IF('SG &amp; Density'!$B$10=A97,G97,0)</f>
        <v>0</v>
      </c>
      <c r="Y97" s="245">
        <f>+IF('SG &amp; Density'!$B$19=A97,G97,0)</f>
        <v>0</v>
      </c>
      <c r="Z97" s="10"/>
      <c r="AA97" s="306"/>
      <c r="AB97" s="306"/>
      <c r="AC97" s="306"/>
      <c r="AD97" s="306"/>
      <c r="AE97" s="306"/>
    </row>
    <row r="98" spans="1:31" ht="12.75">
      <c r="A98" s="255">
        <f t="shared" si="1"/>
        <v>90</v>
      </c>
      <c r="B98" s="258" t="s">
        <v>161</v>
      </c>
      <c r="C98" s="259">
        <v>3.9</v>
      </c>
      <c r="D98" s="259">
        <v>6.2</v>
      </c>
      <c r="E98" s="259">
        <v>0.00133</v>
      </c>
      <c r="F98" s="273">
        <v>0.00216</v>
      </c>
      <c r="G98" s="259">
        <v>9.7</v>
      </c>
      <c r="H98" s="259">
        <v>40</v>
      </c>
      <c r="I98" s="302">
        <v>148</v>
      </c>
      <c r="J98" s="290">
        <v>0.38</v>
      </c>
      <c r="K98" s="260">
        <v>0.4</v>
      </c>
      <c r="L98" s="245">
        <f>+IF('Dimensional Change'!$A$1=A98,IF($L$7=TRUE,E98,C98),0)</f>
        <v>0</v>
      </c>
      <c r="M98" s="245">
        <f>+IF('Dimensional Change'!$A$1=A98,IF($L$7=TRUE,F98,D98),0)</f>
        <v>0</v>
      </c>
      <c r="N98" s="245">
        <f>+IF('Dimensional Change'!$A$2=A98,IF($L$7=TRUE,E98,C98),0)</f>
        <v>0</v>
      </c>
      <c r="O98" s="245">
        <f>+IF('Dimensional Change'!$A$2=A98,IF($L$7=TRUE,F98,D98),0)</f>
        <v>0</v>
      </c>
      <c r="P98" s="245">
        <f>+IF('Dimensional Change'!$A$3=A98,IF($L$7=TRUE,E98,C98),0)</f>
        <v>0</v>
      </c>
      <c r="Q98" s="245">
        <f>+IF('Dimensional Change'!$A$3=A98,IF($L$7=TRUE,F98,D98),0)</f>
        <v>0</v>
      </c>
      <c r="R98" s="245">
        <f>+IF('SG &amp; Density'!$B$9=A98,J98,0)</f>
        <v>0</v>
      </c>
      <c r="S98" s="245">
        <f>+IF('SG &amp; Density'!$B$18=A98,K98,0)</f>
        <v>0</v>
      </c>
      <c r="T98" s="245">
        <f>+IF('SG &amp; Density'!$B$9=A98,G98,0)</f>
        <v>0</v>
      </c>
      <c r="U98" s="245">
        <f>+IF('SG &amp; Density'!$B$18=A98,G98,0)</f>
        <v>0</v>
      </c>
      <c r="V98" s="245">
        <f>+IF('SG &amp; Density'!$B$10=A98,J98,0)</f>
        <v>0</v>
      </c>
      <c r="W98" s="245">
        <f>+IF('SG &amp; Density'!$B$19=A98,K98,0)</f>
        <v>0</v>
      </c>
      <c r="X98" s="245">
        <f>+IF('SG &amp; Density'!$B$10=A98,G98,0)</f>
        <v>0</v>
      </c>
      <c r="Y98" s="245">
        <f>+IF('SG &amp; Density'!$B$19=A98,G98,0)</f>
        <v>0</v>
      </c>
      <c r="Z98" s="10"/>
      <c r="AA98" s="306"/>
      <c r="AB98" s="306"/>
      <c r="AC98" s="306"/>
      <c r="AD98" s="306"/>
      <c r="AE98" s="306"/>
    </row>
    <row r="99" spans="1:31" ht="12.75">
      <c r="A99" s="255">
        <f t="shared" si="1"/>
        <v>91</v>
      </c>
      <c r="B99" s="258" t="s">
        <v>162</v>
      </c>
      <c r="C99" s="259">
        <v>3.8</v>
      </c>
      <c r="D99" s="259">
        <v>7.2</v>
      </c>
      <c r="E99" s="259">
        <v>0.0013</v>
      </c>
      <c r="F99" s="273">
        <v>0.00252</v>
      </c>
      <c r="G99" s="259">
        <v>11.3</v>
      </c>
      <c r="H99" s="259">
        <v>32</v>
      </c>
      <c r="I99" s="302">
        <v>134</v>
      </c>
      <c r="J99" s="290">
        <v>0.41</v>
      </c>
      <c r="K99" s="260">
        <v>0.46</v>
      </c>
      <c r="L99" s="245">
        <f>+IF('Dimensional Change'!$A$1=A99,IF($L$7=TRUE,E99,C99),0)</f>
        <v>0</v>
      </c>
      <c r="M99" s="245">
        <f>+IF('Dimensional Change'!$A$1=A99,IF($L$7=TRUE,F99,D99),0)</f>
        <v>0</v>
      </c>
      <c r="N99" s="245">
        <f>+IF('Dimensional Change'!$A$2=A99,IF($L$7=TRUE,E99,C99),0)</f>
        <v>0</v>
      </c>
      <c r="O99" s="245">
        <f>+IF('Dimensional Change'!$A$2=A99,IF($L$7=TRUE,F99,D99),0)</f>
        <v>0</v>
      </c>
      <c r="P99" s="245">
        <f>+IF('Dimensional Change'!$A$3=A99,IF($L$7=TRUE,E99,C99),0)</f>
        <v>0</v>
      </c>
      <c r="Q99" s="245">
        <f>+IF('Dimensional Change'!$A$3=A99,IF($L$7=TRUE,F99,D99),0)</f>
        <v>0</v>
      </c>
      <c r="R99" s="245">
        <f>+IF('SG &amp; Density'!$B$9=A99,J99,0)</f>
        <v>0</v>
      </c>
      <c r="S99" s="245">
        <f>+IF('SG &amp; Density'!$B$18=A99,K99,0)</f>
        <v>0</v>
      </c>
      <c r="T99" s="245">
        <f>+IF('SG &amp; Density'!$B$9=A99,G99,0)</f>
        <v>0</v>
      </c>
      <c r="U99" s="245">
        <f>+IF('SG &amp; Density'!$B$18=A99,G99,0)</f>
        <v>0</v>
      </c>
      <c r="V99" s="245">
        <f>+IF('SG &amp; Density'!$B$10=A99,J99,0)</f>
        <v>0</v>
      </c>
      <c r="W99" s="245">
        <f>+IF('SG &amp; Density'!$B$19=A99,K99,0)</f>
        <v>0</v>
      </c>
      <c r="X99" s="245">
        <f>+IF('SG &amp; Density'!$B$10=A99,G99,0)</f>
        <v>0</v>
      </c>
      <c r="Y99" s="245">
        <f>+IF('SG &amp; Density'!$B$19=A99,G99,0)</f>
        <v>0</v>
      </c>
      <c r="Z99" s="10"/>
      <c r="AA99" s="306"/>
      <c r="AB99" s="306"/>
      <c r="AC99" s="306"/>
      <c r="AD99" s="306"/>
      <c r="AE99" s="306"/>
    </row>
    <row r="100" spans="1:31" ht="12.75">
      <c r="A100" s="255">
        <f t="shared" si="1"/>
        <v>92</v>
      </c>
      <c r="B100" s="258" t="s">
        <v>163</v>
      </c>
      <c r="C100" s="259">
        <v>4.6</v>
      </c>
      <c r="D100" s="259">
        <v>7.7</v>
      </c>
      <c r="E100" s="259">
        <v>0.00158</v>
      </c>
      <c r="F100" s="273">
        <v>0.00271</v>
      </c>
      <c r="G100" s="259">
        <v>12.3</v>
      </c>
      <c r="H100" s="259">
        <v>32</v>
      </c>
      <c r="I100" s="302">
        <v>122</v>
      </c>
      <c r="J100" s="290">
        <v>0.47</v>
      </c>
      <c r="K100" s="260">
        <v>0.51</v>
      </c>
      <c r="L100" s="245">
        <f>+IF('Dimensional Change'!$A$1=A100,IF($L$7=TRUE,E100,C100),0)</f>
        <v>0</v>
      </c>
      <c r="M100" s="245">
        <f>+IF('Dimensional Change'!$A$1=A100,IF($L$7=TRUE,F100,D100),0)</f>
        <v>0</v>
      </c>
      <c r="N100" s="245">
        <f>+IF('Dimensional Change'!$A$2=A100,IF($L$7=TRUE,E100,C100),0)</f>
        <v>0</v>
      </c>
      <c r="O100" s="245">
        <f>+IF('Dimensional Change'!$A$2=A100,IF($L$7=TRUE,F100,D100),0)</f>
        <v>0</v>
      </c>
      <c r="P100" s="245">
        <f>+IF('Dimensional Change'!$A$3=A100,IF($L$7=TRUE,E100,C100),0)</f>
        <v>0</v>
      </c>
      <c r="Q100" s="245">
        <f>+IF('Dimensional Change'!$A$3=A100,IF($L$7=TRUE,F100,D100),0)</f>
        <v>0</v>
      </c>
      <c r="R100" s="245">
        <f>+IF('SG &amp; Density'!$B$9=A100,J100,0)</f>
        <v>0</v>
      </c>
      <c r="S100" s="245">
        <f>+IF('SG &amp; Density'!$B$18=A100,K100,0)</f>
        <v>0</v>
      </c>
      <c r="T100" s="245">
        <f>+IF('SG &amp; Density'!$B$9=A100,G100,0)</f>
        <v>0</v>
      </c>
      <c r="U100" s="245">
        <f>+IF('SG &amp; Density'!$B$18=A100,G100,0)</f>
        <v>0</v>
      </c>
      <c r="V100" s="245">
        <f>+IF('SG &amp; Density'!$B$10=A100,J100,0)</f>
        <v>0</v>
      </c>
      <c r="W100" s="245">
        <f>+IF('SG &amp; Density'!$B$19=A100,K100,0)</f>
        <v>0</v>
      </c>
      <c r="X100" s="245">
        <f>+IF('SG &amp; Density'!$B$10=A100,G100,0)</f>
        <v>0</v>
      </c>
      <c r="Y100" s="245">
        <f>+IF('SG &amp; Density'!$B$19=A100,G100,0)</f>
        <v>0</v>
      </c>
      <c r="Z100" s="10"/>
      <c r="AA100" s="306"/>
      <c r="AB100" s="306"/>
      <c r="AC100" s="306"/>
      <c r="AD100" s="306"/>
      <c r="AE100" s="306"/>
    </row>
    <row r="101" spans="1:31" ht="12.75">
      <c r="A101" s="255">
        <f t="shared" si="1"/>
        <v>93</v>
      </c>
      <c r="B101" s="258" t="s">
        <v>164</v>
      </c>
      <c r="C101" s="259">
        <v>5.4</v>
      </c>
      <c r="D101" s="259">
        <v>7.6</v>
      </c>
      <c r="E101" s="259">
        <v>0.00187</v>
      </c>
      <c r="F101" s="273">
        <v>0.00267</v>
      </c>
      <c r="G101" s="259">
        <v>12.1</v>
      </c>
      <c r="H101" s="259" t="s">
        <v>38</v>
      </c>
      <c r="I101" s="302" t="s">
        <v>38</v>
      </c>
      <c r="J101" s="290">
        <v>0.54</v>
      </c>
      <c r="K101" s="260">
        <v>0.59</v>
      </c>
      <c r="L101" s="245">
        <f>+IF('Dimensional Change'!$A$1=A101,IF($L$7=TRUE,E101,C101),0)</f>
        <v>0</v>
      </c>
      <c r="M101" s="245">
        <f>+IF('Dimensional Change'!$A$1=A101,IF($L$7=TRUE,F101,D101),0)</f>
        <v>0</v>
      </c>
      <c r="N101" s="245">
        <f>+IF('Dimensional Change'!$A$2=A101,IF($L$7=TRUE,E101,C101),0)</f>
        <v>0</v>
      </c>
      <c r="O101" s="245">
        <f>+IF('Dimensional Change'!$A$2=A101,IF($L$7=TRUE,F101,D101),0)</f>
        <v>0</v>
      </c>
      <c r="P101" s="245">
        <f>+IF('Dimensional Change'!$A$3=A101,IF($L$7=TRUE,E101,C101),0)</f>
        <v>0</v>
      </c>
      <c r="Q101" s="245">
        <f>+IF('Dimensional Change'!$A$3=A101,IF($L$7=TRUE,F101,D101),0)</f>
        <v>0</v>
      </c>
      <c r="R101" s="245">
        <f>+IF('SG &amp; Density'!$B$9=A101,J101,0)</f>
        <v>0</v>
      </c>
      <c r="S101" s="245">
        <f>+IF('SG &amp; Density'!$B$18=A101,K101,0)</f>
        <v>0</v>
      </c>
      <c r="T101" s="245">
        <f>+IF('SG &amp; Density'!$B$9=A101,G101,0)</f>
        <v>0</v>
      </c>
      <c r="U101" s="245">
        <f>+IF('SG &amp; Density'!$B$18=A101,G101,0)</f>
        <v>0</v>
      </c>
      <c r="V101" s="245">
        <f>+IF('SG &amp; Density'!$B$10=A101,J101,0)</f>
        <v>0</v>
      </c>
      <c r="W101" s="245">
        <f>+IF('SG &amp; Density'!$B$19=A101,K101,0)</f>
        <v>0</v>
      </c>
      <c r="X101" s="245">
        <f>+IF('SG &amp; Density'!$B$10=A101,G101,0)</f>
        <v>0</v>
      </c>
      <c r="Y101" s="245">
        <f>+IF('SG &amp; Density'!$B$19=A101,G101,0)</f>
        <v>0</v>
      </c>
      <c r="Z101" s="10"/>
      <c r="AA101" s="306"/>
      <c r="AB101" s="306"/>
      <c r="AC101" s="306"/>
      <c r="AD101" s="306"/>
      <c r="AE101" s="306"/>
    </row>
    <row r="102" spans="1:31" ht="12.75">
      <c r="A102" s="255">
        <f t="shared" si="1"/>
        <v>94</v>
      </c>
      <c r="B102" s="258" t="s">
        <v>165</v>
      </c>
      <c r="C102" s="259">
        <v>2.9</v>
      </c>
      <c r="D102" s="259">
        <v>5.6</v>
      </c>
      <c r="E102" s="259">
        <v>0.00099</v>
      </c>
      <c r="F102" s="273">
        <v>0.00194</v>
      </c>
      <c r="G102" s="259">
        <v>7.9</v>
      </c>
      <c r="H102" s="259">
        <v>98</v>
      </c>
      <c r="I102" s="302">
        <v>219</v>
      </c>
      <c r="J102" s="290">
        <v>0.34</v>
      </c>
      <c r="K102" s="260">
        <v>0.36</v>
      </c>
      <c r="L102" s="245">
        <f>+IF('Dimensional Change'!$A$1=A102,IF($L$7=TRUE,E102,C102),0)</f>
        <v>0</v>
      </c>
      <c r="M102" s="245">
        <f>+IF('Dimensional Change'!$A$1=A102,IF($L$7=TRUE,F102,D102),0)</f>
        <v>0</v>
      </c>
      <c r="N102" s="245">
        <f>+IF('Dimensional Change'!$A$2=A102,IF($L$7=TRUE,E102,C102),0)</f>
        <v>0</v>
      </c>
      <c r="O102" s="245">
        <f>+IF('Dimensional Change'!$A$2=A102,IF($L$7=TRUE,F102,D102),0)</f>
        <v>0</v>
      </c>
      <c r="P102" s="245">
        <f>+IF('Dimensional Change'!$A$3=A102,IF($L$7=TRUE,E102,C102),0)</f>
        <v>0</v>
      </c>
      <c r="Q102" s="245">
        <f>+IF('Dimensional Change'!$A$3=A102,IF($L$7=TRUE,F102,D102),0)</f>
        <v>0</v>
      </c>
      <c r="R102" s="245">
        <f>+IF('SG &amp; Density'!$B$9=A102,J102,0)</f>
        <v>0</v>
      </c>
      <c r="S102" s="245">
        <f>+IF('SG &amp; Density'!$B$18=A102,K102,0)</f>
        <v>0</v>
      </c>
      <c r="T102" s="245">
        <f>+IF('SG &amp; Density'!$B$9=A102,G102,0)</f>
        <v>0</v>
      </c>
      <c r="U102" s="245">
        <f>+IF('SG &amp; Density'!$B$18=A102,G102,0)</f>
        <v>0</v>
      </c>
      <c r="V102" s="245">
        <f>+IF('SG &amp; Density'!$B$10=A102,J102,0)</f>
        <v>0</v>
      </c>
      <c r="W102" s="245">
        <f>+IF('SG &amp; Density'!$B$19=A102,K102,0)</f>
        <v>0</v>
      </c>
      <c r="X102" s="245">
        <f>+IF('SG &amp; Density'!$B$10=A102,G102,0)</f>
        <v>0</v>
      </c>
      <c r="Y102" s="245">
        <f>+IF('SG &amp; Density'!$B$19=A102,G102,0)</f>
        <v>0</v>
      </c>
      <c r="Z102" s="10"/>
      <c r="AA102" s="306"/>
      <c r="AB102" s="306"/>
      <c r="AC102" s="306"/>
      <c r="AD102" s="306"/>
      <c r="AE102" s="306"/>
    </row>
    <row r="103" spans="1:31" ht="12.75">
      <c r="A103" s="255">
        <f t="shared" si="1"/>
        <v>95</v>
      </c>
      <c r="B103" s="258" t="s">
        <v>166</v>
      </c>
      <c r="C103" s="259">
        <v>4.2</v>
      </c>
      <c r="D103" s="259">
        <v>7.2</v>
      </c>
      <c r="E103" s="259">
        <v>0.00144</v>
      </c>
      <c r="F103" s="273">
        <v>0.00252</v>
      </c>
      <c r="G103" s="259">
        <v>11.9</v>
      </c>
      <c r="H103" s="259" t="s">
        <v>38</v>
      </c>
      <c r="I103" s="302" t="s">
        <v>38</v>
      </c>
      <c r="J103" s="290">
        <v>0.45</v>
      </c>
      <c r="K103" s="260">
        <v>0.48</v>
      </c>
      <c r="L103" s="245">
        <f>+IF('Dimensional Change'!$A$1=A103,IF($L$7=TRUE,E103,C103),0)</f>
        <v>0</v>
      </c>
      <c r="M103" s="245">
        <f>+IF('Dimensional Change'!$A$1=A103,IF($L$7=TRUE,F103,D103),0)</f>
        <v>0</v>
      </c>
      <c r="N103" s="245">
        <f>+IF('Dimensional Change'!$A$2=A103,IF($L$7=TRUE,E103,C103),0)</f>
        <v>0</v>
      </c>
      <c r="O103" s="245">
        <f>+IF('Dimensional Change'!$A$2=A103,IF($L$7=TRUE,F103,D103),0)</f>
        <v>0</v>
      </c>
      <c r="P103" s="245">
        <f>+IF('Dimensional Change'!$A$3=A103,IF($L$7=TRUE,E103,C103),0)</f>
        <v>0</v>
      </c>
      <c r="Q103" s="245">
        <f>+IF('Dimensional Change'!$A$3=A103,IF($L$7=TRUE,F103,D103),0)</f>
        <v>0</v>
      </c>
      <c r="R103" s="245">
        <f>+IF('SG &amp; Density'!$B$9=A103,J103,0)</f>
        <v>0</v>
      </c>
      <c r="S103" s="245">
        <f>+IF('SG &amp; Density'!$B$18=A103,K103,0)</f>
        <v>0</v>
      </c>
      <c r="T103" s="245">
        <f>+IF('SG &amp; Density'!$B$9=A103,G103,0)</f>
        <v>0</v>
      </c>
      <c r="U103" s="245">
        <f>+IF('SG &amp; Density'!$B$18=A103,G103,0)</f>
        <v>0</v>
      </c>
      <c r="V103" s="245">
        <f>+IF('SG &amp; Density'!$B$10=A103,J103,0)</f>
        <v>0</v>
      </c>
      <c r="W103" s="245">
        <f>+IF('SG &amp; Density'!$B$19=A103,K103,0)</f>
        <v>0</v>
      </c>
      <c r="X103" s="245">
        <f>+IF('SG &amp; Density'!$B$10=A103,G103,0)</f>
        <v>0</v>
      </c>
      <c r="Y103" s="245">
        <f>+IF('SG &amp; Density'!$B$19=A103,G103,0)</f>
        <v>0</v>
      </c>
      <c r="Z103" s="10"/>
      <c r="AA103" s="306"/>
      <c r="AB103" s="306"/>
      <c r="AC103" s="306"/>
      <c r="AD103" s="306"/>
      <c r="AE103" s="306"/>
    </row>
    <row r="104" spans="1:31" ht="12.75">
      <c r="A104" s="255">
        <f t="shared" si="1"/>
        <v>96</v>
      </c>
      <c r="B104" s="258" t="s">
        <v>167</v>
      </c>
      <c r="C104" s="259">
        <v>4.1</v>
      </c>
      <c r="D104" s="259">
        <v>7.4</v>
      </c>
      <c r="E104" s="259">
        <v>0.00141</v>
      </c>
      <c r="F104" s="273">
        <v>0.00259</v>
      </c>
      <c r="G104" s="259">
        <v>11.8</v>
      </c>
      <c r="H104" s="259">
        <v>62</v>
      </c>
      <c r="I104" s="302">
        <v>148</v>
      </c>
      <c r="J104" s="290">
        <v>0.35</v>
      </c>
      <c r="K104" s="260">
        <v>0.38</v>
      </c>
      <c r="L104" s="245">
        <f>+IF('Dimensional Change'!$A$1=A104,IF($L$7=TRUE,E104,C104),0)</f>
        <v>0</v>
      </c>
      <c r="M104" s="245">
        <f>+IF('Dimensional Change'!$A$1=A104,IF($L$7=TRUE,F104,D104),0)</f>
        <v>0</v>
      </c>
      <c r="N104" s="245">
        <f>+IF('Dimensional Change'!$A$2=A104,IF($L$7=TRUE,E104,C104),0)</f>
        <v>0</v>
      </c>
      <c r="O104" s="245">
        <f>+IF('Dimensional Change'!$A$2=A104,IF($L$7=TRUE,F104,D104),0)</f>
        <v>0</v>
      </c>
      <c r="P104" s="245">
        <f>+IF('Dimensional Change'!$A$3=A104,IF($L$7=TRUE,E104,C104),0)</f>
        <v>0</v>
      </c>
      <c r="Q104" s="245">
        <f>+IF('Dimensional Change'!$A$3=A104,IF($L$7=TRUE,F104,D104),0)</f>
        <v>0</v>
      </c>
      <c r="R104" s="245">
        <f>+IF('SG &amp; Density'!$B$9=A104,J104,0)</f>
        <v>0</v>
      </c>
      <c r="S104" s="245">
        <f>+IF('SG &amp; Density'!$B$18=A104,K104,0)</f>
        <v>0</v>
      </c>
      <c r="T104" s="245">
        <f>+IF('SG &amp; Density'!$B$9=A104,G104,0)</f>
        <v>0</v>
      </c>
      <c r="U104" s="245">
        <f>+IF('SG &amp; Density'!$B$18=A104,G104,0)</f>
        <v>0</v>
      </c>
      <c r="V104" s="245">
        <f>+IF('SG &amp; Density'!$B$10=A104,J104,0)</f>
        <v>0</v>
      </c>
      <c r="W104" s="245">
        <f>+IF('SG &amp; Density'!$B$19=A104,K104,0)</f>
        <v>0</v>
      </c>
      <c r="X104" s="245">
        <f>+IF('SG &amp; Density'!$B$10=A104,G104,0)</f>
        <v>0</v>
      </c>
      <c r="Y104" s="245">
        <f>+IF('SG &amp; Density'!$B$19=A104,G104,0)</f>
        <v>0</v>
      </c>
      <c r="Z104" s="10"/>
      <c r="AA104" s="306"/>
      <c r="AB104" s="306"/>
      <c r="AC104" s="306"/>
      <c r="AD104" s="306"/>
      <c r="AE104" s="306"/>
    </row>
    <row r="105" spans="1:31" ht="12.75">
      <c r="A105" s="255">
        <f t="shared" si="1"/>
        <v>97</v>
      </c>
      <c r="B105" s="258" t="s">
        <v>189</v>
      </c>
      <c r="C105" s="259">
        <v>3.4</v>
      </c>
      <c r="D105" s="259">
        <v>7</v>
      </c>
      <c r="E105" s="259">
        <v>0.001</v>
      </c>
      <c r="F105" s="273">
        <v>0.00233</v>
      </c>
      <c r="G105" s="259">
        <v>10.4</v>
      </c>
      <c r="H105" s="259">
        <v>45</v>
      </c>
      <c r="I105" s="302" t="s">
        <v>382</v>
      </c>
      <c r="J105" s="290" t="s">
        <v>38</v>
      </c>
      <c r="K105" s="260">
        <v>0.45</v>
      </c>
      <c r="L105" s="245">
        <f>+IF('Dimensional Change'!$A$1=A105,IF($L$7=TRUE,E105,C105),0)</f>
        <v>0</v>
      </c>
      <c r="M105" s="245">
        <f>+IF('Dimensional Change'!$A$1=A105,IF($L$7=TRUE,F105,D105),0)</f>
        <v>0</v>
      </c>
      <c r="N105" s="245">
        <f>+IF('Dimensional Change'!$A$2=A105,IF($L$7=TRUE,E105,C105),0)</f>
        <v>0</v>
      </c>
      <c r="O105" s="245">
        <f>+IF('Dimensional Change'!$A$2=A105,IF($L$7=TRUE,F105,D105),0)</f>
        <v>0</v>
      </c>
      <c r="P105" s="245">
        <f>+IF('Dimensional Change'!$A$3=A105,IF($L$7=TRUE,E105,C105),0)</f>
        <v>0</v>
      </c>
      <c r="Q105" s="245">
        <f>+IF('Dimensional Change'!$A$3=A105,IF($L$7=TRUE,F105,D105),0)</f>
        <v>0</v>
      </c>
      <c r="R105" s="245">
        <f>+IF('SG &amp; Density'!$B$9=A105,J105,0)</f>
        <v>0</v>
      </c>
      <c r="S105" s="245">
        <f>+IF('SG &amp; Density'!$B$18=A105,K105,0)</f>
        <v>0.45</v>
      </c>
      <c r="T105" s="245">
        <f>+IF('SG &amp; Density'!$B$9=A105,G105,0)</f>
        <v>0</v>
      </c>
      <c r="U105" s="245">
        <f>+IF('SG &amp; Density'!$B$18=A105,G105,0)</f>
        <v>10.4</v>
      </c>
      <c r="V105" s="245">
        <f>+IF('SG &amp; Density'!$B$10=A105,J105,0)</f>
        <v>0</v>
      </c>
      <c r="W105" s="245">
        <f>+IF('SG &amp; Density'!$B$19=A105,K105,0)</f>
        <v>0</v>
      </c>
      <c r="X105" s="245">
        <f>+IF('SG &amp; Density'!$B$10=A105,G105,0)</f>
        <v>0</v>
      </c>
      <c r="Y105" s="245">
        <f>+IF('SG &amp; Density'!$B$19=A105,G105,0)</f>
        <v>0</v>
      </c>
      <c r="Z105" s="10"/>
      <c r="AA105" s="306"/>
      <c r="AB105" s="306"/>
      <c r="AC105" s="306"/>
      <c r="AD105" s="306"/>
      <c r="AE105" s="306"/>
    </row>
    <row r="106" spans="1:31" ht="12.75">
      <c r="A106" s="255">
        <f t="shared" si="1"/>
        <v>98</v>
      </c>
      <c r="B106" s="258" t="s">
        <v>168</v>
      </c>
      <c r="C106" s="259">
        <v>2.6</v>
      </c>
      <c r="D106" s="259">
        <v>4.4</v>
      </c>
      <c r="E106" s="259">
        <v>0.0012</v>
      </c>
      <c r="F106" s="273">
        <v>0.00205</v>
      </c>
      <c r="G106" s="259">
        <v>6.8</v>
      </c>
      <c r="H106" s="259">
        <v>86</v>
      </c>
      <c r="I106" s="302">
        <v>210</v>
      </c>
      <c r="J106" s="290">
        <v>0.38</v>
      </c>
      <c r="K106" s="260">
        <v>0.4</v>
      </c>
      <c r="L106" s="245">
        <f>+IF('Dimensional Change'!$A$1=A106,IF($L$7=TRUE,E106,C106),0)</f>
        <v>0</v>
      </c>
      <c r="M106" s="245">
        <f>+IF('Dimensional Change'!$A$1=A106,IF($L$7=TRUE,F106,D106),0)</f>
        <v>0</v>
      </c>
      <c r="N106" s="245">
        <f>+IF('Dimensional Change'!$A$2=A106,IF($L$7=TRUE,E106,C106),0)</f>
        <v>0</v>
      </c>
      <c r="O106" s="245">
        <f>+IF('Dimensional Change'!$A$2=A106,IF($L$7=TRUE,F106,D106),0)</f>
        <v>0</v>
      </c>
      <c r="P106" s="245">
        <f>+IF('Dimensional Change'!$A$3=A106,IF($L$7=TRUE,E106,C106),0)</f>
        <v>0</v>
      </c>
      <c r="Q106" s="245">
        <f>+IF('Dimensional Change'!$A$3=A106,IF($L$7=TRUE,F106,D106),0)</f>
        <v>0</v>
      </c>
      <c r="R106" s="245">
        <f>+IF('SG &amp; Density'!$B$9=A106,J106,0)</f>
        <v>0</v>
      </c>
      <c r="S106" s="245">
        <f>+IF('SG &amp; Density'!$B$18=A106,K106,0)</f>
        <v>0</v>
      </c>
      <c r="T106" s="245">
        <f>+IF('SG &amp; Density'!$B$9=A106,G106,0)</f>
        <v>0</v>
      </c>
      <c r="U106" s="245">
        <f>+IF('SG &amp; Density'!$B$18=A106,G106,0)</f>
        <v>0</v>
      </c>
      <c r="V106" s="245">
        <f>+IF('SG &amp; Density'!$B$10=A106,J106,0)</f>
        <v>0</v>
      </c>
      <c r="W106" s="245">
        <f>+IF('SG &amp; Density'!$B$19=A106,K106,0)</f>
        <v>0</v>
      </c>
      <c r="X106" s="245">
        <f>+IF('SG &amp; Density'!$B$10=A106,G106,0)</f>
        <v>0</v>
      </c>
      <c r="Y106" s="245">
        <f>+IF('SG &amp; Density'!$B$19=A106,G106,0)</f>
        <v>0</v>
      </c>
      <c r="Z106" s="10"/>
      <c r="AA106" s="306"/>
      <c r="AB106" s="306"/>
      <c r="AC106" s="306"/>
      <c r="AD106" s="306"/>
      <c r="AE106" s="306"/>
    </row>
    <row r="107" spans="1:31" ht="12.75">
      <c r="A107" s="255">
        <f t="shared" si="1"/>
        <v>99</v>
      </c>
      <c r="B107" s="258" t="s">
        <v>169</v>
      </c>
      <c r="C107" s="259">
        <v>2.2</v>
      </c>
      <c r="D107" s="259">
        <v>4.9</v>
      </c>
      <c r="E107" s="259">
        <v>0.00101</v>
      </c>
      <c r="F107" s="273">
        <v>0.00229</v>
      </c>
      <c r="G107" s="259">
        <v>7</v>
      </c>
      <c r="H107" s="259" t="s">
        <v>38</v>
      </c>
      <c r="I107" s="302" t="s">
        <v>38</v>
      </c>
      <c r="J107" s="290">
        <v>0.34</v>
      </c>
      <c r="K107" s="260">
        <v>0.35</v>
      </c>
      <c r="L107" s="245">
        <f>+IF('Dimensional Change'!$A$1=A107,IF($L$7=TRUE,E107,C107),0)</f>
        <v>0</v>
      </c>
      <c r="M107" s="245">
        <f>+IF('Dimensional Change'!$A$1=A107,IF($L$7=TRUE,F107,D107),0)</f>
        <v>0</v>
      </c>
      <c r="N107" s="245">
        <f>+IF('Dimensional Change'!$A$2=A107,IF($L$7=TRUE,E107,C107),0)</f>
        <v>0</v>
      </c>
      <c r="O107" s="245">
        <f>+IF('Dimensional Change'!$A$2=A107,IF($L$7=TRUE,F107,D107),0)</f>
        <v>0</v>
      </c>
      <c r="P107" s="245">
        <f>+IF('Dimensional Change'!$A$3=A107,IF($L$7=TRUE,E107,C107),0)</f>
        <v>0</v>
      </c>
      <c r="Q107" s="245">
        <f>+IF('Dimensional Change'!$A$3=A107,IF($L$7=TRUE,F107,D107),0)</f>
        <v>0</v>
      </c>
      <c r="R107" s="245">
        <f>+IF('SG &amp; Density'!$B$9=A107,J107,0)</f>
        <v>0</v>
      </c>
      <c r="S107" s="245">
        <f>+IF('SG &amp; Density'!$B$18=A107,K107,0)</f>
        <v>0</v>
      </c>
      <c r="T107" s="245">
        <f>+IF('SG &amp; Density'!$B$9=A107,G107,0)</f>
        <v>0</v>
      </c>
      <c r="U107" s="245">
        <f>+IF('SG &amp; Density'!$B$18=A107,G107,0)</f>
        <v>0</v>
      </c>
      <c r="V107" s="245">
        <f>+IF('SG &amp; Density'!$B$10=A107,J107,0)</f>
        <v>0</v>
      </c>
      <c r="W107" s="245">
        <f>+IF('SG &amp; Density'!$B$19=A107,K107,0)</f>
        <v>0</v>
      </c>
      <c r="X107" s="245">
        <f>+IF('SG &amp; Density'!$B$10=A107,G107,0)</f>
        <v>0</v>
      </c>
      <c r="Y107" s="245">
        <f>+IF('SG &amp; Density'!$B$19=A107,G107,0)</f>
        <v>0</v>
      </c>
      <c r="Z107" s="10"/>
      <c r="AA107" s="306"/>
      <c r="AB107" s="306"/>
      <c r="AC107" s="306"/>
      <c r="AD107" s="306"/>
      <c r="AE107" s="306"/>
    </row>
    <row r="108" spans="1:31" ht="12.75">
      <c r="A108" s="255">
        <f t="shared" si="1"/>
        <v>100</v>
      </c>
      <c r="B108" s="258" t="s">
        <v>170</v>
      </c>
      <c r="C108" s="259">
        <v>4.1</v>
      </c>
      <c r="D108" s="259">
        <v>6.8</v>
      </c>
      <c r="E108" s="259">
        <v>0.00141</v>
      </c>
      <c r="F108" s="273">
        <v>0.00237</v>
      </c>
      <c r="G108" s="259">
        <v>11.3</v>
      </c>
      <c r="H108" s="259" t="s">
        <v>38</v>
      </c>
      <c r="I108" s="302" t="s">
        <v>38</v>
      </c>
      <c r="J108" s="290">
        <v>0.38</v>
      </c>
      <c r="K108" s="260">
        <v>0.42</v>
      </c>
      <c r="L108" s="245">
        <f>+IF('Dimensional Change'!$A$1=A108,IF($L$7=TRUE,E108,C108),0)</f>
        <v>0</v>
      </c>
      <c r="M108" s="245">
        <f>+IF('Dimensional Change'!$A$1=A108,IF($L$7=TRUE,F108,D108),0)</f>
        <v>0</v>
      </c>
      <c r="N108" s="245">
        <f>+IF('Dimensional Change'!$A$2=A108,IF($L$7=TRUE,E108,C108),0)</f>
        <v>0</v>
      </c>
      <c r="O108" s="245">
        <f>+IF('Dimensional Change'!$A$2=A108,IF($L$7=TRUE,F108,D108),0)</f>
        <v>0</v>
      </c>
      <c r="P108" s="245">
        <f>+IF('Dimensional Change'!$A$3=A108,IF($L$7=TRUE,E108,C108),0)</f>
        <v>0</v>
      </c>
      <c r="Q108" s="245">
        <f>+IF('Dimensional Change'!$A$3=A108,IF($L$7=TRUE,F108,D108),0)</f>
        <v>0</v>
      </c>
      <c r="R108" s="245">
        <f>+IF('SG &amp; Density'!$B$9=A108,J108,0)</f>
        <v>0</v>
      </c>
      <c r="S108" s="245">
        <f>+IF('SG &amp; Density'!$B$18=A108,K108,0)</f>
        <v>0</v>
      </c>
      <c r="T108" s="245">
        <f>+IF('SG &amp; Density'!$B$9=A108,G108,0)</f>
        <v>0</v>
      </c>
      <c r="U108" s="245">
        <f>+IF('SG &amp; Density'!$B$18=A108,G108,0)</f>
        <v>0</v>
      </c>
      <c r="V108" s="245">
        <f>+IF('SG &amp; Density'!$B$10=A108,J108,0)</f>
        <v>0</v>
      </c>
      <c r="W108" s="245">
        <f>+IF('SG &amp; Density'!$B$19=A108,K108,0)</f>
        <v>0</v>
      </c>
      <c r="X108" s="245">
        <f>+IF('SG &amp; Density'!$B$10=A108,G108,0)</f>
        <v>0</v>
      </c>
      <c r="Y108" s="245">
        <f>+IF('SG &amp; Density'!$B$19=A108,G108,0)</f>
        <v>0</v>
      </c>
      <c r="Z108" s="10"/>
      <c r="AA108" s="306"/>
      <c r="AB108" s="306"/>
      <c r="AC108" s="306"/>
      <c r="AD108" s="306"/>
      <c r="AE108" s="306"/>
    </row>
    <row r="109" spans="1:31" ht="12.75">
      <c r="A109" s="255">
        <f t="shared" si="1"/>
        <v>101</v>
      </c>
      <c r="B109" s="258" t="s">
        <v>171</v>
      </c>
      <c r="C109" s="259">
        <v>3.8</v>
      </c>
      <c r="D109" s="259">
        <v>7.1</v>
      </c>
      <c r="E109" s="259">
        <v>0.0013</v>
      </c>
      <c r="F109" s="273">
        <v>0.00248</v>
      </c>
      <c r="G109" s="259">
        <v>11</v>
      </c>
      <c r="H109" s="259">
        <v>51</v>
      </c>
      <c r="I109" s="302">
        <v>173</v>
      </c>
      <c r="J109" s="290">
        <v>0.33</v>
      </c>
      <c r="K109" s="260">
        <v>0.35</v>
      </c>
      <c r="L109" s="245">
        <f>+IF('Dimensional Change'!$A$1=A109,IF($L$7=TRUE,E109,C109),0)</f>
        <v>0</v>
      </c>
      <c r="M109" s="245">
        <f>+IF('Dimensional Change'!$A$1=A109,IF($L$7=TRUE,F109,D109),0)</f>
        <v>0</v>
      </c>
      <c r="N109" s="245">
        <f>+IF('Dimensional Change'!$A$2=A109,IF($L$7=TRUE,E109,C109),0)</f>
        <v>0</v>
      </c>
      <c r="O109" s="245">
        <f>+IF('Dimensional Change'!$A$2=A109,IF($L$7=TRUE,F109,D109),0)</f>
        <v>0</v>
      </c>
      <c r="P109" s="245">
        <f>+IF('Dimensional Change'!$A$3=A109,IF($L$7=TRUE,E109,C109),0)</f>
        <v>0</v>
      </c>
      <c r="Q109" s="245">
        <f>+IF('Dimensional Change'!$A$3=A109,IF($L$7=TRUE,F109,D109),0)</f>
        <v>0</v>
      </c>
      <c r="R109" s="245">
        <f>+IF('SG &amp; Density'!$B$9=A109,J109,0)</f>
        <v>0</v>
      </c>
      <c r="S109" s="245">
        <f>+IF('SG &amp; Density'!$B$18=A109,K109,0)</f>
        <v>0</v>
      </c>
      <c r="T109" s="245">
        <f>+IF('SG &amp; Density'!$B$9=A109,G109,0)</f>
        <v>0</v>
      </c>
      <c r="U109" s="245">
        <f>+IF('SG &amp; Density'!$B$18=A109,G109,0)</f>
        <v>0</v>
      </c>
      <c r="V109" s="245">
        <f>+IF('SG &amp; Density'!$B$10=A109,J109,0)</f>
        <v>0</v>
      </c>
      <c r="W109" s="245">
        <f>+IF('SG &amp; Density'!$B$19=A109,K109,0)</f>
        <v>0</v>
      </c>
      <c r="X109" s="245">
        <f>+IF('SG &amp; Density'!$B$10=A109,G109,0)</f>
        <v>0</v>
      </c>
      <c r="Y109" s="245">
        <f>+IF('SG &amp; Density'!$B$19=A109,G109,0)</f>
        <v>0</v>
      </c>
      <c r="Z109" s="10"/>
      <c r="AA109" s="306"/>
      <c r="AB109" s="306"/>
      <c r="AC109" s="306"/>
      <c r="AD109" s="306"/>
      <c r="AE109" s="306"/>
    </row>
    <row r="110" spans="1:31" ht="12.75">
      <c r="A110" s="255">
        <f t="shared" si="1"/>
        <v>102</v>
      </c>
      <c r="B110" s="258" t="s">
        <v>172</v>
      </c>
      <c r="C110" s="259">
        <v>3.8</v>
      </c>
      <c r="D110" s="259">
        <v>7.8</v>
      </c>
      <c r="E110" s="259">
        <v>0.0013</v>
      </c>
      <c r="F110" s="273">
        <v>0.00274</v>
      </c>
      <c r="G110" s="259">
        <v>11.8</v>
      </c>
      <c r="H110" s="259" t="s">
        <v>38</v>
      </c>
      <c r="I110" s="302" t="s">
        <v>38</v>
      </c>
      <c r="J110" s="290">
        <v>0.37</v>
      </c>
      <c r="K110" s="260">
        <v>0.4</v>
      </c>
      <c r="L110" s="245">
        <f>+IF('Dimensional Change'!$A$1=A110,IF($L$7=TRUE,E110,C110),0)</f>
        <v>0</v>
      </c>
      <c r="M110" s="245">
        <f>+IF('Dimensional Change'!$A$1=A110,IF($L$7=TRUE,F110,D110),0)</f>
        <v>0</v>
      </c>
      <c r="N110" s="245">
        <f>+IF('Dimensional Change'!$A$2=A110,IF($L$7=TRUE,E110,C110),0)</f>
        <v>0</v>
      </c>
      <c r="O110" s="245">
        <f>+IF('Dimensional Change'!$A$2=A110,IF($L$7=TRUE,F110,D110),0)</f>
        <v>0</v>
      </c>
      <c r="P110" s="245">
        <f>+IF('Dimensional Change'!$A$3=A110,IF($L$7=TRUE,E110,C110),0)</f>
        <v>0</v>
      </c>
      <c r="Q110" s="245">
        <f>+IF('Dimensional Change'!$A$3=A110,IF($L$7=TRUE,F110,D110),0)</f>
        <v>0</v>
      </c>
      <c r="R110" s="245">
        <f>+IF('SG &amp; Density'!$B$9=A110,J110,0)</f>
        <v>0</v>
      </c>
      <c r="S110" s="245">
        <f>+IF('SG &amp; Density'!$B$18=A110,K110,0)</f>
        <v>0</v>
      </c>
      <c r="T110" s="245">
        <f>+IF('SG &amp; Density'!$B$9=A110,G110,0)</f>
        <v>0</v>
      </c>
      <c r="U110" s="245">
        <f>+IF('SG &amp; Density'!$B$18=A110,G110,0)</f>
        <v>0</v>
      </c>
      <c r="V110" s="245">
        <f>+IF('SG &amp; Density'!$B$10=A110,J110,0)</f>
        <v>0</v>
      </c>
      <c r="W110" s="245">
        <f>+IF('SG &amp; Density'!$B$19=A110,K110,0)</f>
        <v>0</v>
      </c>
      <c r="X110" s="245">
        <f>+IF('SG &amp; Density'!$B$10=A110,G110,0)</f>
        <v>0</v>
      </c>
      <c r="Y110" s="245">
        <f>+IF('SG &amp; Density'!$B$19=A110,G110,0)</f>
        <v>0</v>
      </c>
      <c r="Z110" s="10"/>
      <c r="AA110" s="306"/>
      <c r="AB110" s="306"/>
      <c r="AC110" s="306"/>
      <c r="AD110" s="306"/>
      <c r="AE110" s="306"/>
    </row>
    <row r="111" spans="1:31" ht="12.75">
      <c r="A111" s="255">
        <f t="shared" si="1"/>
        <v>103</v>
      </c>
      <c r="B111" s="258" t="s">
        <v>173</v>
      </c>
      <c r="C111" s="259">
        <v>4.3</v>
      </c>
      <c r="D111" s="259">
        <v>7.5</v>
      </c>
      <c r="E111" s="259">
        <v>0.00148</v>
      </c>
      <c r="F111" s="273">
        <v>0.00263</v>
      </c>
      <c r="G111" s="259">
        <v>11.5</v>
      </c>
      <c r="H111" s="259">
        <v>41</v>
      </c>
      <c r="I111" s="302">
        <v>142</v>
      </c>
      <c r="J111" s="290">
        <v>0.37</v>
      </c>
      <c r="K111" s="260">
        <v>0.4</v>
      </c>
      <c r="L111" s="245">
        <f>+IF('Dimensional Change'!$A$1=A111,IF($L$7=TRUE,E111,C111),0)</f>
        <v>0</v>
      </c>
      <c r="M111" s="245">
        <f>+IF('Dimensional Change'!$A$1=A111,IF($L$7=TRUE,F111,D111),0)</f>
        <v>0</v>
      </c>
      <c r="N111" s="245">
        <f>+IF('Dimensional Change'!$A$2=A111,IF($L$7=TRUE,E111,C111),0)</f>
        <v>0</v>
      </c>
      <c r="O111" s="245">
        <f>+IF('Dimensional Change'!$A$2=A111,IF($L$7=TRUE,F111,D111),0)</f>
        <v>0</v>
      </c>
      <c r="P111" s="245">
        <f>+IF('Dimensional Change'!$A$3=A111,IF($L$7=TRUE,E111,C111),0)</f>
        <v>0</v>
      </c>
      <c r="Q111" s="245">
        <f>+IF('Dimensional Change'!$A$3=A111,IF($L$7=TRUE,F111,D111),0)</f>
        <v>0</v>
      </c>
      <c r="R111" s="245">
        <f>+IF('SG &amp; Density'!$B$9=A111,J111,0)</f>
        <v>0</v>
      </c>
      <c r="S111" s="245">
        <f>+IF('SG &amp; Density'!$B$18=A111,K111,0)</f>
        <v>0</v>
      </c>
      <c r="T111" s="245">
        <f>+IF('SG &amp; Density'!$B$9=A111,G111,0)</f>
        <v>0</v>
      </c>
      <c r="U111" s="245">
        <f>+IF('SG &amp; Density'!$B$18=A111,G111,0)</f>
        <v>0</v>
      </c>
      <c r="V111" s="245">
        <f>+IF('SG &amp; Density'!$B$10=A111,J111,0)</f>
        <v>0</v>
      </c>
      <c r="W111" s="245">
        <f>+IF('SG &amp; Density'!$B$19=A111,K111,0)</f>
        <v>0</v>
      </c>
      <c r="X111" s="245">
        <f>+IF('SG &amp; Density'!$B$10=A111,G111,0)</f>
        <v>0</v>
      </c>
      <c r="Y111" s="245">
        <f>+IF('SG &amp; Density'!$B$19=A111,G111,0)</f>
        <v>0</v>
      </c>
      <c r="Z111" s="10"/>
      <c r="AA111" s="306"/>
      <c r="AB111" s="306"/>
      <c r="AC111" s="306"/>
      <c r="AD111" s="306"/>
      <c r="AE111" s="306"/>
    </row>
    <row r="112" spans="1:31" ht="13.5" thickBot="1">
      <c r="A112" s="255">
        <f t="shared" si="1"/>
        <v>104</v>
      </c>
      <c r="B112" s="313" t="s">
        <v>36</v>
      </c>
      <c r="C112" s="307">
        <v>3.7</v>
      </c>
      <c r="D112" s="307">
        <v>7.4</v>
      </c>
      <c r="E112" s="307">
        <v>0.00126</v>
      </c>
      <c r="F112" s="308">
        <v>0.00259</v>
      </c>
      <c r="G112" s="307">
        <v>13.6</v>
      </c>
      <c r="H112" s="307">
        <v>49</v>
      </c>
      <c r="I112" s="309" t="s">
        <v>38</v>
      </c>
      <c r="J112" s="310">
        <v>0.49</v>
      </c>
      <c r="K112" s="311">
        <v>0.53</v>
      </c>
      <c r="L112" s="245">
        <f>+IF('Dimensional Change'!$A$1=A112,IF($L$7=TRUE,E112,C112),0)</f>
        <v>0</v>
      </c>
      <c r="M112" s="245">
        <f>+IF('Dimensional Change'!$A$1=A112,IF($L$7=TRUE,F112,D112),0)</f>
        <v>0</v>
      </c>
      <c r="N112" s="245">
        <f>+IF('Dimensional Change'!$A$2=A112,IF($L$7=TRUE,E112,C112),0)</f>
        <v>0</v>
      </c>
      <c r="O112" s="245">
        <f>+IF('Dimensional Change'!$A$2=A112,IF($L$7=TRUE,F112,D112),0)</f>
        <v>0</v>
      </c>
      <c r="P112" s="245">
        <f>+IF('Dimensional Change'!$A$3=A112,IF($L$7=TRUE,E112,C112),0)</f>
        <v>0</v>
      </c>
      <c r="Q112" s="245">
        <f>+IF('Dimensional Change'!$A$3=A112,IF($L$7=TRUE,F112,D112),0)</f>
        <v>0</v>
      </c>
      <c r="R112" s="245">
        <f>+IF('SG &amp; Density'!$B$9=A112,J112,0)</f>
        <v>0</v>
      </c>
      <c r="S112" s="245">
        <f>+IF('SG &amp; Density'!$B$18=A112,K112,0)</f>
        <v>0</v>
      </c>
      <c r="T112" s="245">
        <f>+IF('SG &amp; Density'!$B$9=A112,G112,0)</f>
        <v>0</v>
      </c>
      <c r="U112" s="245">
        <f>+IF('SG &amp; Density'!$B$18=A112,G112,0)</f>
        <v>0</v>
      </c>
      <c r="V112" s="245">
        <f>+IF('SG &amp; Density'!$B$10=A112,J112,0)</f>
        <v>0</v>
      </c>
      <c r="W112" s="245">
        <f>+IF('SG &amp; Density'!$B$19=A112,K112,0)</f>
        <v>0</v>
      </c>
      <c r="X112" s="245">
        <f>+IF('SG &amp; Density'!$B$10=A112,G112,0)</f>
        <v>0</v>
      </c>
      <c r="Y112" s="245">
        <f>+IF('SG &amp; Density'!$B$19=A112,G112,0)</f>
        <v>0</v>
      </c>
      <c r="Z112" s="10"/>
      <c r="AA112" s="306"/>
      <c r="AB112" s="306"/>
      <c r="AC112" s="306"/>
      <c r="AD112" s="306"/>
      <c r="AE112" s="306"/>
    </row>
    <row r="113" spans="1:31" ht="12.75">
      <c r="A113" s="255">
        <f t="shared" si="1"/>
        <v>105</v>
      </c>
      <c r="B113" s="312" t="s">
        <v>190</v>
      </c>
      <c r="C113" s="280"/>
      <c r="D113" s="280"/>
      <c r="E113" s="280"/>
      <c r="F113" s="281"/>
      <c r="G113" s="280"/>
      <c r="H113" s="280"/>
      <c r="I113" s="304"/>
      <c r="J113" s="292"/>
      <c r="K113" s="282"/>
      <c r="L113" s="245">
        <f>+IF('Dimensional Change'!$A$1=A113,IF($L$7=TRUE,E113,C113),0)</f>
        <v>0</v>
      </c>
      <c r="M113" s="245">
        <f>+IF('Dimensional Change'!$A$1=A113,IF($L$7=TRUE,F113,D113),0)</f>
        <v>0</v>
      </c>
      <c r="N113" s="245">
        <f>+IF('Dimensional Change'!$A$2=A113,IF($L$7=TRUE,E113,C113),0)</f>
        <v>0</v>
      </c>
      <c r="O113" s="245">
        <f>+IF('Dimensional Change'!$A$2=A113,IF($L$7=TRUE,F113,D113),0)</f>
        <v>0</v>
      </c>
      <c r="P113" s="245">
        <f>+IF('Dimensional Change'!$A$3=A113,IF($L$7=TRUE,E113,C113),0)</f>
        <v>0</v>
      </c>
      <c r="Q113" s="245">
        <f>+IF('Dimensional Change'!$A$3=A113,IF($L$7=TRUE,F113,D113),0)</f>
        <v>0</v>
      </c>
      <c r="R113" s="245">
        <f>+IF('SG &amp; Density'!$B$9=A113,J113,0)</f>
        <v>0</v>
      </c>
      <c r="S113" s="245">
        <f>+IF('SG &amp; Density'!$B$18=A113,K113,0)</f>
        <v>0</v>
      </c>
      <c r="T113" s="245">
        <f>+IF('SG &amp; Density'!$B$9=A113,G113,0)</f>
        <v>0</v>
      </c>
      <c r="U113" s="245">
        <f>+IF('SG &amp; Density'!$B$18=A113,G113,0)</f>
        <v>0</v>
      </c>
      <c r="V113" s="245">
        <f>+IF('SG &amp; Density'!$B$10=A113,J113,0)</f>
        <v>0</v>
      </c>
      <c r="W113" s="245">
        <f>+IF('SG &amp; Density'!$B$19=A113,K113,0)</f>
        <v>0</v>
      </c>
      <c r="X113" s="245">
        <f>+IF('SG &amp; Density'!$B$10=A113,G113,0)</f>
        <v>0</v>
      </c>
      <c r="Y113" s="245">
        <f>+IF('SG &amp; Density'!$B$19=A113,G113,0)</f>
        <v>0</v>
      </c>
      <c r="Z113" s="10"/>
      <c r="AA113" s="306"/>
      <c r="AB113" s="306"/>
      <c r="AC113" s="306"/>
      <c r="AD113" s="306"/>
      <c r="AE113" s="306"/>
    </row>
    <row r="114" spans="1:31" ht="12.75">
      <c r="A114" s="255">
        <f t="shared" si="1"/>
        <v>106</v>
      </c>
      <c r="B114" s="218" t="s">
        <v>191</v>
      </c>
      <c r="C114" s="219"/>
      <c r="D114" s="219"/>
      <c r="E114" s="219"/>
      <c r="F114" s="275"/>
      <c r="G114" s="295"/>
      <c r="H114" s="295"/>
      <c r="I114" s="305"/>
      <c r="J114" s="293"/>
      <c r="K114" s="276"/>
      <c r="L114" s="245">
        <f>+IF('Dimensional Change'!$A$1=A114,IF($L$7=TRUE,E114,C114),0)</f>
        <v>0</v>
      </c>
      <c r="M114" s="245">
        <f>+IF('Dimensional Change'!$A$1=A114,IF($L$7=TRUE,F114,D114),0)</f>
        <v>0</v>
      </c>
      <c r="N114" s="245">
        <f>+IF('Dimensional Change'!$A$2=A114,IF($L$7=TRUE,E114,C114),0)</f>
        <v>0</v>
      </c>
      <c r="O114" s="245">
        <f>+IF('Dimensional Change'!$A$2=A114,IF($L$7=TRUE,F114,D114),0)</f>
        <v>0</v>
      </c>
      <c r="P114" s="245">
        <f>+IF('Dimensional Change'!$A$3=A114,IF($L$7=TRUE,E114,C114),0)</f>
        <v>0</v>
      </c>
      <c r="Q114" s="245">
        <f>+IF('Dimensional Change'!$A$3=A114,IF($L$7=TRUE,F114,D114),0)</f>
        <v>0</v>
      </c>
      <c r="R114" s="245">
        <f>+IF('SG &amp; Density'!$B$9=A114,J114,0)</f>
        <v>0</v>
      </c>
      <c r="S114" s="245">
        <f>+IF('SG &amp; Density'!$B$18=A114,K114,0)</f>
        <v>0</v>
      </c>
      <c r="T114" s="245">
        <f>+IF('SG &amp; Density'!$B$9=A114,G114,0)</f>
        <v>0</v>
      </c>
      <c r="U114" s="245">
        <f>+IF('SG &amp; Density'!$B$18=A114,G114,0)</f>
        <v>0</v>
      </c>
      <c r="V114" s="245">
        <f>+IF('SG &amp; Density'!$B$10=A114,J114,0)</f>
        <v>0</v>
      </c>
      <c r="W114" s="245">
        <f>+IF('SG &amp; Density'!$B$19=A114,K114,0)</f>
        <v>0</v>
      </c>
      <c r="X114" s="245">
        <f>+IF('SG &amp; Density'!$B$10=A114,G114,0)</f>
        <v>0</v>
      </c>
      <c r="Y114" s="245">
        <f>+IF('SG &amp; Density'!$B$19=A114,G114,0)</f>
        <v>0</v>
      </c>
      <c r="Z114" s="10"/>
      <c r="AA114" s="306"/>
      <c r="AB114" s="306"/>
      <c r="AC114" s="306"/>
      <c r="AD114" s="306"/>
      <c r="AE114" s="306"/>
    </row>
    <row r="115" spans="1:31" ht="12.75">
      <c r="A115" s="255">
        <f t="shared" si="1"/>
        <v>107</v>
      </c>
      <c r="B115" s="218" t="s">
        <v>192</v>
      </c>
      <c r="C115" s="219"/>
      <c r="D115" s="219"/>
      <c r="E115" s="219"/>
      <c r="F115" s="275"/>
      <c r="G115" s="295"/>
      <c r="H115" s="295"/>
      <c r="I115" s="305"/>
      <c r="J115" s="293"/>
      <c r="K115" s="276"/>
      <c r="L115" s="245">
        <f>+IF('Dimensional Change'!$A$1=A115,IF($L$7=TRUE,E115,C115),0)</f>
        <v>0</v>
      </c>
      <c r="M115" s="245">
        <f>+IF('Dimensional Change'!$A$1=A115,IF($L$7=TRUE,F115,D115),0)</f>
        <v>0</v>
      </c>
      <c r="N115" s="245">
        <f>+IF('Dimensional Change'!$A$2=A115,IF($L$7=TRUE,E115,C115),0)</f>
        <v>0</v>
      </c>
      <c r="O115" s="245">
        <f>+IF('Dimensional Change'!$A$2=A115,IF($L$7=TRUE,F115,D115),0)</f>
        <v>0</v>
      </c>
      <c r="P115" s="245">
        <f>+IF('Dimensional Change'!$A$3=A115,IF($L$7=TRUE,E115,C115),0)</f>
        <v>0</v>
      </c>
      <c r="Q115" s="245">
        <f>+IF('Dimensional Change'!$A$3=A115,IF($L$7=TRUE,F115,D115),0)</f>
        <v>0</v>
      </c>
      <c r="R115" s="245">
        <f>+IF('SG &amp; Density'!$B$9=A115,J115,0)</f>
        <v>0</v>
      </c>
      <c r="S115" s="245">
        <f>+IF('SG &amp; Density'!$B$18=A115,K115,0)</f>
        <v>0</v>
      </c>
      <c r="T115" s="245">
        <f>+IF('SG &amp; Density'!$B$9=A115,G115,0)</f>
        <v>0</v>
      </c>
      <c r="U115" s="245">
        <f>+IF('SG &amp; Density'!$B$18=A115,G115,0)</f>
        <v>0</v>
      </c>
      <c r="V115" s="245">
        <f>+IF('SG &amp; Density'!$B$10=A115,J115,0)</f>
        <v>0</v>
      </c>
      <c r="W115" s="245">
        <f>+IF('SG &amp; Density'!$B$19=A115,K115,0)</f>
        <v>0</v>
      </c>
      <c r="X115" s="245">
        <f>+IF('SG &amp; Density'!$B$10=A115,G115,0)</f>
        <v>0</v>
      </c>
      <c r="Y115" s="245">
        <f>+IF('SG &amp; Density'!$B$19=A115,G115,0)</f>
        <v>0</v>
      </c>
      <c r="Z115" s="10"/>
      <c r="AA115" s="306"/>
      <c r="AB115" s="306"/>
      <c r="AC115" s="306"/>
      <c r="AD115" s="306"/>
      <c r="AE115" s="306"/>
    </row>
    <row r="116" spans="1:31" ht="12.75">
      <c r="A116" s="255">
        <f t="shared" si="1"/>
        <v>108</v>
      </c>
      <c r="B116" s="218" t="s">
        <v>193</v>
      </c>
      <c r="C116" s="219"/>
      <c r="D116" s="219"/>
      <c r="E116" s="219"/>
      <c r="F116" s="275"/>
      <c r="G116" s="295"/>
      <c r="H116" s="295"/>
      <c r="I116" s="305"/>
      <c r="J116" s="293"/>
      <c r="K116" s="276"/>
      <c r="L116" s="245">
        <f>+IF('Dimensional Change'!$A$1=A116,IF($L$7=TRUE,E116,C116),0)</f>
        <v>0</v>
      </c>
      <c r="M116" s="245">
        <f>+IF('Dimensional Change'!$A$1=A116,IF($L$7=TRUE,F116,D116),0)</f>
        <v>0</v>
      </c>
      <c r="N116" s="245">
        <f>+IF('Dimensional Change'!$A$2=A116,IF($L$7=TRUE,E116,C116),0)</f>
        <v>0</v>
      </c>
      <c r="O116" s="245">
        <f>+IF('Dimensional Change'!$A$2=A116,IF($L$7=TRUE,F116,D116),0)</f>
        <v>0</v>
      </c>
      <c r="P116" s="245">
        <f>+IF('Dimensional Change'!$A$3=A116,IF($L$7=TRUE,E116,C116),0)</f>
        <v>0</v>
      </c>
      <c r="Q116" s="245">
        <f>+IF('Dimensional Change'!$A$3=A116,IF($L$7=TRUE,F116,D116),0)</f>
        <v>0</v>
      </c>
      <c r="R116" s="245">
        <f>+IF('SG &amp; Density'!$B$9=A116,J116,0)</f>
        <v>0</v>
      </c>
      <c r="S116" s="245">
        <f>+IF('SG &amp; Density'!$B$18=A116,K116,0)</f>
        <v>0</v>
      </c>
      <c r="T116" s="245">
        <f>+IF('SG &amp; Density'!$B$9=A116,G116,0)</f>
        <v>0</v>
      </c>
      <c r="U116" s="245">
        <f>+IF('SG &amp; Density'!$B$18=A116,G116,0)</f>
        <v>0</v>
      </c>
      <c r="V116" s="245">
        <f>+IF('SG &amp; Density'!$B$10=A116,J116,0)</f>
        <v>0</v>
      </c>
      <c r="W116" s="245">
        <f>+IF('SG &amp; Density'!$B$19=A116,K116,0)</f>
        <v>0</v>
      </c>
      <c r="X116" s="245">
        <f>+IF('SG &amp; Density'!$B$10=A116,G116,0)</f>
        <v>0</v>
      </c>
      <c r="Y116" s="245">
        <f>+IF('SG &amp; Density'!$B$19=A116,G116,0)</f>
        <v>0</v>
      </c>
      <c r="Z116" s="10"/>
      <c r="AA116" s="306"/>
      <c r="AB116" s="306"/>
      <c r="AC116" s="306"/>
      <c r="AD116" s="306"/>
      <c r="AE116" s="306"/>
    </row>
    <row r="117" spans="1:31" ht="12.75">
      <c r="A117" s="255">
        <f t="shared" si="1"/>
        <v>109</v>
      </c>
      <c r="B117" s="218" t="s">
        <v>194</v>
      </c>
      <c r="C117" s="219"/>
      <c r="D117" s="219"/>
      <c r="E117" s="219"/>
      <c r="F117" s="275"/>
      <c r="G117" s="295"/>
      <c r="H117" s="295"/>
      <c r="I117" s="305"/>
      <c r="J117" s="293"/>
      <c r="K117" s="276"/>
      <c r="L117" s="245">
        <f>+IF('Dimensional Change'!$A$1=A117,IF($L$7=TRUE,E117,C117),0)</f>
        <v>0</v>
      </c>
      <c r="M117" s="245">
        <f>+IF('Dimensional Change'!$A$1=A117,IF($L$7=TRUE,F117,D117),0)</f>
        <v>0</v>
      </c>
      <c r="N117" s="245">
        <f>+IF('Dimensional Change'!$A$2=A117,IF($L$7=TRUE,E117,C117),0)</f>
        <v>0</v>
      </c>
      <c r="O117" s="245">
        <f>+IF('Dimensional Change'!$A$2=A117,IF($L$7=TRUE,F117,D117),0)</f>
        <v>0</v>
      </c>
      <c r="P117" s="245">
        <f>+IF('Dimensional Change'!$A$3=A117,IF($L$7=TRUE,E117,C117),0)</f>
        <v>0</v>
      </c>
      <c r="Q117" s="245">
        <f>+IF('Dimensional Change'!$A$3=A117,IF($L$7=TRUE,F117,D117),0)</f>
        <v>0</v>
      </c>
      <c r="R117" s="245">
        <f>+IF('SG &amp; Density'!$B$9=A117,J117,0)</f>
        <v>0</v>
      </c>
      <c r="S117" s="245">
        <f>+IF('SG &amp; Density'!$B$18=A117,K117,0)</f>
        <v>0</v>
      </c>
      <c r="T117" s="245">
        <f>+IF('SG &amp; Density'!$B$9=A117,G117,0)</f>
        <v>0</v>
      </c>
      <c r="U117" s="245">
        <f>+IF('SG &amp; Density'!$B$18=A117,G117,0)</f>
        <v>0</v>
      </c>
      <c r="V117" s="245">
        <f>+IF('SG &amp; Density'!$B$10=A117,J117,0)</f>
        <v>0</v>
      </c>
      <c r="W117" s="245">
        <f>+IF('SG &amp; Density'!$B$19=A117,K117,0)</f>
        <v>0</v>
      </c>
      <c r="X117" s="245">
        <f>+IF('SG &amp; Density'!$B$10=A117,G117,0)</f>
        <v>0</v>
      </c>
      <c r="Y117" s="245">
        <f>+IF('SG &amp; Density'!$B$19=A117,G117,0)</f>
        <v>0</v>
      </c>
      <c r="Z117" s="10"/>
      <c r="AA117" s="306"/>
      <c r="AB117" s="306"/>
      <c r="AC117" s="306"/>
      <c r="AD117" s="306"/>
      <c r="AE117" s="306"/>
    </row>
    <row r="118" spans="1:31" ht="12.75">
      <c r="A118" s="255">
        <f t="shared" si="1"/>
        <v>110</v>
      </c>
      <c r="B118" s="241" t="s">
        <v>195</v>
      </c>
      <c r="C118" s="219"/>
      <c r="D118" s="219"/>
      <c r="E118" s="219"/>
      <c r="F118" s="275"/>
      <c r="G118" s="295"/>
      <c r="H118" s="295"/>
      <c r="I118" s="305"/>
      <c r="J118" s="293"/>
      <c r="K118" s="276"/>
      <c r="L118" s="245">
        <f>+IF('Dimensional Change'!$A$1=A118,IF($L$7=TRUE,E118,C118),0)</f>
        <v>0</v>
      </c>
      <c r="M118" s="245">
        <f>+IF('Dimensional Change'!$A$1=A118,IF($L$7=TRUE,F118,D118),0)</f>
        <v>0</v>
      </c>
      <c r="N118" s="245">
        <f>+IF('Dimensional Change'!$A$2=A118,IF($L$7=TRUE,E118,C118),0)</f>
        <v>0</v>
      </c>
      <c r="O118" s="245">
        <f>+IF('Dimensional Change'!$A$2=A118,IF($L$7=TRUE,F118,D118),0)</f>
        <v>0</v>
      </c>
      <c r="P118" s="245">
        <f>+IF('Dimensional Change'!$A$3=A118,IF($L$7=TRUE,E118,C118),0)</f>
        <v>0</v>
      </c>
      <c r="Q118" s="245">
        <f>+IF('Dimensional Change'!$A$3=A118,IF($L$7=TRUE,F118,D118),0)</f>
        <v>0</v>
      </c>
      <c r="R118" s="245">
        <f>+IF('SG &amp; Density'!$B$9=A118,J118,0)</f>
        <v>0</v>
      </c>
      <c r="S118" s="245">
        <f>+IF('SG &amp; Density'!$B$18=A118,K118,0)</f>
        <v>0</v>
      </c>
      <c r="T118" s="245">
        <f>+IF('SG &amp; Density'!$B$9=A118,G118,0)</f>
        <v>0</v>
      </c>
      <c r="U118" s="245">
        <f>+IF('SG &amp; Density'!$B$18=A118,G118,0)</f>
        <v>0</v>
      </c>
      <c r="V118" s="245">
        <f>+IF('SG &amp; Density'!$B$10=A118,J118,0)</f>
        <v>0</v>
      </c>
      <c r="W118" s="245">
        <f>+IF('SG &amp; Density'!$B$19=A118,K118,0)</f>
        <v>0</v>
      </c>
      <c r="X118" s="245">
        <f>+IF('SG &amp; Density'!$B$10=A118,G118,0)</f>
        <v>0</v>
      </c>
      <c r="Y118" s="245">
        <f>+IF('SG &amp; Density'!$B$19=A118,G118,0)</f>
        <v>0</v>
      </c>
      <c r="Z118" s="10"/>
      <c r="AA118" s="306"/>
      <c r="AB118" s="306"/>
      <c r="AC118" s="306"/>
      <c r="AD118" s="306"/>
      <c r="AE118" s="306"/>
    </row>
    <row r="119" spans="1:31" ht="12.75">
      <c r="A119" s="255">
        <f t="shared" si="1"/>
        <v>111</v>
      </c>
      <c r="B119" s="240" t="s">
        <v>295</v>
      </c>
      <c r="C119" s="219"/>
      <c r="D119" s="219"/>
      <c r="E119" s="219"/>
      <c r="F119" s="275"/>
      <c r="G119" s="295"/>
      <c r="H119" s="295"/>
      <c r="I119" s="305"/>
      <c r="J119" s="293"/>
      <c r="K119" s="276"/>
      <c r="L119" s="245">
        <f>+IF('Dimensional Change'!$A$1=A119,IF($L$7=TRUE,E119,C119),0)</f>
        <v>0</v>
      </c>
      <c r="M119" s="245">
        <f>+IF('Dimensional Change'!$A$1=A119,IF($L$7=TRUE,F119,D119),0)</f>
        <v>0</v>
      </c>
      <c r="N119" s="245">
        <f>+IF('Dimensional Change'!$A$2=A119,IF($L$7=TRUE,E119,C119),0)</f>
        <v>0</v>
      </c>
      <c r="O119" s="245">
        <f>+IF('Dimensional Change'!$A$2=A119,IF($L$7=TRUE,F119,D119),0)</f>
        <v>0</v>
      </c>
      <c r="P119" s="245">
        <f>+IF('Dimensional Change'!$A$3=A119,IF($L$7=TRUE,E119,C119),0)</f>
        <v>0</v>
      </c>
      <c r="Q119" s="245">
        <f>+IF('Dimensional Change'!$A$3=A119,IF($L$7=TRUE,F119,D119),0)</f>
        <v>0</v>
      </c>
      <c r="R119" s="245">
        <f>+IF('SG &amp; Density'!$B$9=A119,J119,0)</f>
        <v>0</v>
      </c>
      <c r="S119" s="245">
        <f>+IF('SG &amp; Density'!$B$18=A119,K119,0)</f>
        <v>0</v>
      </c>
      <c r="T119" s="245">
        <f>+IF('SG &amp; Density'!$B$9=A119,G119,0)</f>
        <v>0</v>
      </c>
      <c r="U119" s="245">
        <f>+IF('SG &amp; Density'!$B$18=A119,G119,0)</f>
        <v>0</v>
      </c>
      <c r="V119" s="245">
        <f>+IF('SG &amp; Density'!$B$10=A119,J119,0)</f>
        <v>0</v>
      </c>
      <c r="W119" s="245">
        <f>+IF('SG &amp; Density'!$B$19=A119,K119,0)</f>
        <v>0</v>
      </c>
      <c r="X119" s="245">
        <f>+IF('SG &amp; Density'!$B$10=A119,G119,0)</f>
        <v>0</v>
      </c>
      <c r="Y119" s="245">
        <f>+IF('SG &amp; Density'!$B$19=A119,G119,0)</f>
        <v>0</v>
      </c>
      <c r="Z119" s="10"/>
      <c r="AA119" s="306"/>
      <c r="AB119" s="306"/>
      <c r="AC119" s="306"/>
      <c r="AD119" s="306"/>
      <c r="AE119" s="306"/>
    </row>
    <row r="120" spans="1:31" ht="12.75">
      <c r="A120" s="255">
        <f t="shared" si="1"/>
        <v>112</v>
      </c>
      <c r="B120" s="218" t="s">
        <v>296</v>
      </c>
      <c r="C120" s="219"/>
      <c r="D120" s="219"/>
      <c r="E120" s="219"/>
      <c r="F120" s="275"/>
      <c r="G120" s="295"/>
      <c r="H120" s="295"/>
      <c r="I120" s="305"/>
      <c r="J120" s="293"/>
      <c r="K120" s="276"/>
      <c r="L120" s="245">
        <f>+IF('Dimensional Change'!$A$1=A120,IF($L$7=TRUE,E120,C120),0)</f>
        <v>0</v>
      </c>
      <c r="M120" s="245">
        <f>+IF('Dimensional Change'!$A$1=A120,IF($L$7=TRUE,F120,D120),0)</f>
        <v>0</v>
      </c>
      <c r="N120" s="245">
        <f>+IF('Dimensional Change'!$A$2=A120,IF($L$7=TRUE,E120,C120),0)</f>
        <v>0</v>
      </c>
      <c r="O120" s="245">
        <f>+IF('Dimensional Change'!$A$2=A120,IF($L$7=TRUE,F120,D120),0)</f>
        <v>0</v>
      </c>
      <c r="P120" s="245">
        <f>+IF('Dimensional Change'!$A$3=A120,IF($L$7=TRUE,E120,C120),0)</f>
        <v>0</v>
      </c>
      <c r="Q120" s="245">
        <f>+IF('Dimensional Change'!$A$3=A120,IF($L$7=TRUE,F120,D120),0)</f>
        <v>0</v>
      </c>
      <c r="R120" s="245">
        <f>+IF('SG &amp; Density'!$B$9=A120,J120,0)</f>
        <v>0</v>
      </c>
      <c r="S120" s="245">
        <f>+IF('SG &amp; Density'!$B$18=A120,K120,0)</f>
        <v>0</v>
      </c>
      <c r="T120" s="245">
        <f>+IF('SG &amp; Density'!$B$9=A120,G120,0)</f>
        <v>0</v>
      </c>
      <c r="U120" s="245">
        <f>+IF('SG &amp; Density'!$B$18=A120,G120,0)</f>
        <v>0</v>
      </c>
      <c r="V120" s="245">
        <f>+IF('SG &amp; Density'!$B$10=A120,J120,0)</f>
        <v>0</v>
      </c>
      <c r="W120" s="245">
        <f>+IF('SG &amp; Density'!$B$19=A120,K120,0)</f>
        <v>0</v>
      </c>
      <c r="X120" s="245">
        <f>+IF('SG &amp; Density'!$B$10=A120,G120,0)</f>
        <v>0</v>
      </c>
      <c r="Y120" s="245">
        <f>+IF('SG &amp; Density'!$B$19=A120,G120,0)</f>
        <v>0</v>
      </c>
      <c r="Z120" s="10"/>
      <c r="AA120" s="306"/>
      <c r="AB120" s="306"/>
      <c r="AC120" s="306"/>
      <c r="AD120" s="306"/>
      <c r="AE120" s="306"/>
    </row>
    <row r="121" spans="1:31" ht="12.75">
      <c r="A121" s="255">
        <f t="shared" si="1"/>
        <v>113</v>
      </c>
      <c r="B121" s="218" t="s">
        <v>297</v>
      </c>
      <c r="C121" s="219"/>
      <c r="D121" s="219"/>
      <c r="E121" s="219"/>
      <c r="F121" s="275"/>
      <c r="G121" s="295"/>
      <c r="H121" s="295"/>
      <c r="I121" s="305"/>
      <c r="J121" s="293"/>
      <c r="K121" s="276"/>
      <c r="L121" s="245">
        <f>+IF('Dimensional Change'!$A$1=A121,IF($L$7=TRUE,E121,C121),0)</f>
        <v>0</v>
      </c>
      <c r="M121" s="245">
        <f>+IF('Dimensional Change'!$A$1=A121,IF($L$7=TRUE,F121,D121),0)</f>
        <v>0</v>
      </c>
      <c r="N121" s="245">
        <f>+IF('Dimensional Change'!$A$2=A121,IF($L$7=TRUE,E121,C121),0)</f>
        <v>0</v>
      </c>
      <c r="O121" s="245">
        <f>+IF('Dimensional Change'!$A$2=A121,IF($L$7=TRUE,F121,D121),0)</f>
        <v>0</v>
      </c>
      <c r="P121" s="245">
        <f>+IF('Dimensional Change'!$A$3=A121,IF($L$7=TRUE,E121,C121),0)</f>
        <v>0</v>
      </c>
      <c r="Q121" s="245">
        <f>+IF('Dimensional Change'!$A$3=A121,IF($L$7=TRUE,F121,D121),0)</f>
        <v>0</v>
      </c>
      <c r="R121" s="245">
        <f>+IF('SG &amp; Density'!$B$9=A121,J121,0)</f>
        <v>0</v>
      </c>
      <c r="S121" s="245">
        <f>+IF('SG &amp; Density'!$B$18=A121,K121,0)</f>
        <v>0</v>
      </c>
      <c r="T121" s="245">
        <f>+IF('SG &amp; Density'!$B$9=A121,G121,0)</f>
        <v>0</v>
      </c>
      <c r="U121" s="245">
        <f>+IF('SG &amp; Density'!$B$18=A121,G121,0)</f>
        <v>0</v>
      </c>
      <c r="V121" s="245">
        <f>+IF('SG &amp; Density'!$B$10=A121,J121,0)</f>
        <v>0</v>
      </c>
      <c r="W121" s="245">
        <f>+IF('SG &amp; Density'!$B$19=A121,K121,0)</f>
        <v>0</v>
      </c>
      <c r="X121" s="245">
        <f>+IF('SG &amp; Density'!$B$10=A121,G121,0)</f>
        <v>0</v>
      </c>
      <c r="Y121" s="245">
        <f>+IF('SG &amp; Density'!$B$19=A121,G121,0)</f>
        <v>0</v>
      </c>
      <c r="Z121" s="10"/>
      <c r="AA121" s="306"/>
      <c r="AB121" s="306"/>
      <c r="AC121" s="306"/>
      <c r="AD121" s="306"/>
      <c r="AE121" s="306"/>
    </row>
    <row r="122" spans="1:31" ht="13.5" thickBot="1">
      <c r="A122" s="255">
        <f>+A121+1</f>
        <v>114</v>
      </c>
      <c r="B122" s="314" t="s">
        <v>298</v>
      </c>
      <c r="C122" s="315"/>
      <c r="D122" s="315"/>
      <c r="E122" s="315"/>
      <c r="F122" s="316"/>
      <c r="G122" s="315"/>
      <c r="H122" s="315"/>
      <c r="I122" s="317"/>
      <c r="J122" s="318"/>
      <c r="K122" s="319"/>
      <c r="L122" s="245">
        <f>+IF('Dimensional Change'!$A$1=A122,IF($L$7=TRUE,E122,C122),0)</f>
        <v>0</v>
      </c>
      <c r="M122" s="245">
        <f>+IF('Dimensional Change'!$A$1=A122,IF($L$7=TRUE,F122,D122),0)</f>
        <v>0</v>
      </c>
      <c r="N122" s="245">
        <f>+IF('Dimensional Change'!$A$2=A122,IF($L$7=TRUE,E122,C122),0)</f>
        <v>0</v>
      </c>
      <c r="O122" s="245">
        <f>+IF('Dimensional Change'!$A$2=A122,IF($L$7=TRUE,F122,D122),0)</f>
        <v>0</v>
      </c>
      <c r="P122" s="245">
        <f>+IF('Dimensional Change'!$A$3=A122,IF($L$7=TRUE,E122,C122),0)</f>
        <v>0</v>
      </c>
      <c r="Q122" s="245">
        <f>+IF('Dimensional Change'!$A$3=A122,IF($L$7=TRUE,F122,D122),0)</f>
        <v>0</v>
      </c>
      <c r="R122" s="245">
        <f>+IF('SG &amp; Density'!$B$9=A122,J122,0)</f>
        <v>0</v>
      </c>
      <c r="S122" s="245">
        <f>+IF('SG &amp; Density'!$B$18=A122,K122,0)</f>
        <v>0</v>
      </c>
      <c r="T122" s="245">
        <f>+IF('SG &amp; Density'!$B$9=A122,G122,0)</f>
        <v>0</v>
      </c>
      <c r="U122" s="245">
        <f>+IF('SG &amp; Density'!$B$18=A122,G122,0)</f>
        <v>0</v>
      </c>
      <c r="V122" s="245">
        <f>+IF('SG &amp; Density'!$B$10=A122,J122,0)</f>
        <v>0</v>
      </c>
      <c r="W122" s="245">
        <f>+IF('SG &amp; Density'!$B$19=A122,K122,0)</f>
        <v>0</v>
      </c>
      <c r="X122" s="245">
        <f>+IF('SG &amp; Density'!$B$10=A122,G122,0)</f>
        <v>0</v>
      </c>
      <c r="Y122" s="245">
        <f>+IF('SG &amp; Density'!$B$19=A122,G122,0)</f>
        <v>0</v>
      </c>
      <c r="Z122" s="10"/>
      <c r="AA122" s="306"/>
      <c r="AB122" s="306"/>
      <c r="AC122" s="306"/>
      <c r="AD122" s="306"/>
      <c r="AE122" s="306"/>
    </row>
    <row r="123" spans="1:31" ht="12.75">
      <c r="A123" s="111"/>
      <c r="L123" s="10">
        <f aca="true" t="shared" si="2" ref="L123:Y123">+SUM(L9:L122)</f>
        <v>3.8</v>
      </c>
      <c r="M123" s="10">
        <f t="shared" si="2"/>
        <v>6.9</v>
      </c>
      <c r="N123" s="10">
        <f t="shared" si="2"/>
        <v>4.5</v>
      </c>
      <c r="O123" s="10">
        <f t="shared" si="2"/>
        <v>9.1</v>
      </c>
      <c r="P123" s="10">
        <f t="shared" si="2"/>
        <v>3.4</v>
      </c>
      <c r="Q123" s="10">
        <f t="shared" si="2"/>
        <v>7.5</v>
      </c>
      <c r="R123" s="10">
        <f t="shared" si="2"/>
        <v>0.41</v>
      </c>
      <c r="S123" s="10">
        <f t="shared" si="2"/>
        <v>0.45</v>
      </c>
      <c r="T123" s="10">
        <f t="shared" si="2"/>
        <v>7.95</v>
      </c>
      <c r="U123" s="10">
        <f t="shared" si="2"/>
        <v>10.4</v>
      </c>
      <c r="V123" s="10">
        <f t="shared" si="2"/>
        <v>0.48</v>
      </c>
      <c r="W123" s="10">
        <f t="shared" si="2"/>
        <v>0.48</v>
      </c>
      <c r="X123" s="10">
        <f t="shared" si="2"/>
        <v>14</v>
      </c>
      <c r="Y123" s="10">
        <f t="shared" si="2"/>
        <v>12.4</v>
      </c>
      <c r="Z123" s="10"/>
      <c r="AA123" s="306"/>
      <c r="AB123" s="306"/>
      <c r="AC123" s="306"/>
      <c r="AD123" s="306"/>
      <c r="AE123" s="306"/>
    </row>
    <row r="124" spans="1:31" ht="12.75">
      <c r="A124" s="111"/>
      <c r="L124" s="306"/>
      <c r="M124" s="306"/>
      <c r="N124" s="306"/>
      <c r="O124" s="306"/>
      <c r="P124" s="306"/>
      <c r="Q124" s="306"/>
      <c r="R124" s="306"/>
      <c r="S124" s="306"/>
      <c r="T124" s="306"/>
      <c r="U124" s="306"/>
      <c r="V124" s="306"/>
      <c r="W124" s="306"/>
      <c r="X124" s="306"/>
      <c r="Y124" s="306"/>
      <c r="Z124" s="306"/>
      <c r="AA124" s="306"/>
      <c r="AB124" s="306"/>
      <c r="AC124" s="306"/>
      <c r="AD124" s="306"/>
      <c r="AE124" s="306"/>
    </row>
    <row r="125" spans="1:31" ht="12.75">
      <c r="A125" s="111"/>
      <c r="L125" s="306"/>
      <c r="M125" s="306"/>
      <c r="N125" s="306"/>
      <c r="O125" s="306"/>
      <c r="P125" s="306"/>
      <c r="Q125" s="306"/>
      <c r="R125" s="306"/>
      <c r="S125" s="306"/>
      <c r="T125" s="306"/>
      <c r="U125" s="306"/>
      <c r="V125" s="306"/>
      <c r="W125" s="306"/>
      <c r="X125" s="306"/>
      <c r="Y125" s="306"/>
      <c r="Z125" s="306"/>
      <c r="AA125" s="306"/>
      <c r="AB125" s="306"/>
      <c r="AC125" s="306"/>
      <c r="AD125" s="306"/>
      <c r="AE125" s="306"/>
    </row>
    <row r="126" spans="1:31" ht="12.75">
      <c r="A126" s="111"/>
      <c r="L126" s="306"/>
      <c r="M126" s="306"/>
      <c r="N126" s="306"/>
      <c r="O126" s="306"/>
      <c r="P126" s="306"/>
      <c r="Q126" s="306"/>
      <c r="R126" s="306"/>
      <c r="S126" s="306"/>
      <c r="T126" s="306"/>
      <c r="U126" s="306"/>
      <c r="V126" s="306"/>
      <c r="W126" s="306"/>
      <c r="X126" s="306"/>
      <c r="Y126" s="306"/>
      <c r="Z126" s="306"/>
      <c r="AA126" s="306"/>
      <c r="AB126" s="306"/>
      <c r="AC126" s="306"/>
      <c r="AD126" s="306"/>
      <c r="AE126" s="306"/>
    </row>
    <row r="127" spans="1:31" ht="12.75">
      <c r="A127" s="111"/>
      <c r="L127" s="306"/>
      <c r="M127" s="306"/>
      <c r="N127" s="306"/>
      <c r="O127" s="306"/>
      <c r="P127" s="306"/>
      <c r="Q127" s="306"/>
      <c r="R127" s="306"/>
      <c r="S127" s="306"/>
      <c r="T127" s="306"/>
      <c r="U127" s="306"/>
      <c r="V127" s="306"/>
      <c r="W127" s="306"/>
      <c r="X127" s="306"/>
      <c r="Y127" s="306"/>
      <c r="Z127" s="306"/>
      <c r="AA127" s="306"/>
      <c r="AB127" s="306"/>
      <c r="AC127" s="306"/>
      <c r="AD127" s="306"/>
      <c r="AE127" s="306"/>
    </row>
    <row r="128" spans="1:31" ht="12.75">
      <c r="A128" s="111"/>
      <c r="L128" s="306"/>
      <c r="M128" s="306"/>
      <c r="N128" s="306"/>
      <c r="O128" s="306"/>
      <c r="P128" s="306"/>
      <c r="Q128" s="306"/>
      <c r="R128" s="306"/>
      <c r="S128" s="306"/>
      <c r="T128" s="306"/>
      <c r="U128" s="306"/>
      <c r="V128" s="306"/>
      <c r="W128" s="306"/>
      <c r="X128" s="306"/>
      <c r="Y128" s="306"/>
      <c r="Z128" s="306"/>
      <c r="AA128" s="306"/>
      <c r="AB128" s="306"/>
      <c r="AC128" s="306"/>
      <c r="AD128" s="306"/>
      <c r="AE128" s="306"/>
    </row>
    <row r="129" spans="1:31" ht="12.75">
      <c r="A129" s="111"/>
      <c r="L129" s="306"/>
      <c r="M129" s="306"/>
      <c r="N129" s="306"/>
      <c r="O129" s="306"/>
      <c r="P129" s="306"/>
      <c r="Q129" s="306"/>
      <c r="R129" s="306"/>
      <c r="S129" s="306"/>
      <c r="T129" s="306"/>
      <c r="U129" s="306"/>
      <c r="V129" s="306"/>
      <c r="W129" s="306"/>
      <c r="X129" s="306"/>
      <c r="Y129" s="306"/>
      <c r="Z129" s="306"/>
      <c r="AA129" s="306"/>
      <c r="AB129" s="306"/>
      <c r="AC129" s="306"/>
      <c r="AD129" s="306"/>
      <c r="AE129" s="306"/>
    </row>
    <row r="130" spans="1:31" ht="12.75">
      <c r="A130" s="111"/>
      <c r="L130" s="306"/>
      <c r="M130" s="306"/>
      <c r="N130" s="306"/>
      <c r="O130" s="306"/>
      <c r="P130" s="306"/>
      <c r="Q130" s="306"/>
      <c r="R130" s="306"/>
      <c r="S130" s="306"/>
      <c r="T130" s="306"/>
      <c r="U130" s="306"/>
      <c r="V130" s="306"/>
      <c r="W130" s="306"/>
      <c r="X130" s="306"/>
      <c r="Y130" s="306"/>
      <c r="Z130" s="306"/>
      <c r="AA130" s="306"/>
      <c r="AB130" s="306"/>
      <c r="AC130" s="306"/>
      <c r="AD130" s="306"/>
      <c r="AE130" s="306"/>
    </row>
    <row r="131" spans="1:31" ht="12.75">
      <c r="A131" s="111"/>
      <c r="L131" s="306"/>
      <c r="M131" s="306"/>
      <c r="N131" s="306"/>
      <c r="O131" s="306"/>
      <c r="P131" s="306"/>
      <c r="Q131" s="306"/>
      <c r="R131" s="306"/>
      <c r="S131" s="306"/>
      <c r="T131" s="306"/>
      <c r="U131" s="306"/>
      <c r="V131" s="306"/>
      <c r="W131" s="306"/>
      <c r="X131" s="306"/>
      <c r="Y131" s="306"/>
      <c r="Z131" s="306"/>
      <c r="AA131" s="306"/>
      <c r="AB131" s="306"/>
      <c r="AC131" s="306"/>
      <c r="AD131" s="306"/>
      <c r="AE131" s="306"/>
    </row>
    <row r="132" spans="1:31" ht="12.75">
      <c r="A132" s="111"/>
      <c r="L132" s="306"/>
      <c r="M132" s="306"/>
      <c r="N132" s="306"/>
      <c r="O132" s="306"/>
      <c r="P132" s="306"/>
      <c r="Q132" s="306"/>
      <c r="R132" s="306"/>
      <c r="S132" s="306"/>
      <c r="T132" s="306"/>
      <c r="U132" s="306"/>
      <c r="V132" s="306"/>
      <c r="W132" s="306"/>
      <c r="X132" s="306"/>
      <c r="Y132" s="306"/>
      <c r="Z132" s="306"/>
      <c r="AA132" s="306"/>
      <c r="AB132" s="306"/>
      <c r="AC132" s="306"/>
      <c r="AD132" s="306"/>
      <c r="AE132" s="306"/>
    </row>
    <row r="133" spans="1:31" ht="12.75">
      <c r="A133" s="111"/>
      <c r="L133" s="306"/>
      <c r="M133" s="306"/>
      <c r="N133" s="306"/>
      <c r="O133" s="306"/>
      <c r="P133" s="306"/>
      <c r="Q133" s="306"/>
      <c r="R133" s="306"/>
      <c r="S133" s="306"/>
      <c r="T133" s="306"/>
      <c r="U133" s="306"/>
      <c r="V133" s="306"/>
      <c r="W133" s="306"/>
      <c r="X133" s="306"/>
      <c r="Y133" s="306"/>
      <c r="Z133" s="306"/>
      <c r="AA133" s="306"/>
      <c r="AB133" s="306"/>
      <c r="AC133" s="306"/>
      <c r="AD133" s="306"/>
      <c r="AE133" s="306"/>
    </row>
    <row r="134" spans="1:31" ht="12.75">
      <c r="A134" s="111"/>
      <c r="L134" s="306"/>
      <c r="M134" s="306"/>
      <c r="N134" s="306"/>
      <c r="O134" s="306"/>
      <c r="P134" s="306"/>
      <c r="Q134" s="306"/>
      <c r="R134" s="306"/>
      <c r="S134" s="306"/>
      <c r="T134" s="306"/>
      <c r="U134" s="306"/>
      <c r="V134" s="306"/>
      <c r="W134" s="306"/>
      <c r="X134" s="306"/>
      <c r="Y134" s="306"/>
      <c r="Z134" s="306"/>
      <c r="AA134" s="306"/>
      <c r="AB134" s="306"/>
      <c r="AC134" s="306"/>
      <c r="AD134" s="306"/>
      <c r="AE134" s="306"/>
    </row>
    <row r="135" spans="1:31" ht="12.75">
      <c r="A135" s="111"/>
      <c r="L135" s="306"/>
      <c r="M135" s="306"/>
      <c r="N135" s="306"/>
      <c r="O135" s="306"/>
      <c r="P135" s="306"/>
      <c r="Q135" s="306"/>
      <c r="R135" s="306"/>
      <c r="S135" s="306"/>
      <c r="T135" s="306"/>
      <c r="U135" s="306"/>
      <c r="V135" s="306"/>
      <c r="W135" s="306"/>
      <c r="X135" s="306"/>
      <c r="Y135" s="306"/>
      <c r="Z135" s="306"/>
      <c r="AA135" s="306"/>
      <c r="AB135" s="306"/>
      <c r="AC135" s="306"/>
      <c r="AD135" s="306"/>
      <c r="AE135" s="306"/>
    </row>
    <row r="136" spans="1:31" ht="12.75">
      <c r="A136" s="111"/>
      <c r="L136" s="306"/>
      <c r="M136" s="306"/>
      <c r="N136" s="306"/>
      <c r="O136" s="306"/>
      <c r="P136" s="306"/>
      <c r="Q136" s="306"/>
      <c r="R136" s="306"/>
      <c r="S136" s="306"/>
      <c r="T136" s="306"/>
      <c r="U136" s="306"/>
      <c r="V136" s="306"/>
      <c r="W136" s="306"/>
      <c r="X136" s="306"/>
      <c r="Y136" s="306"/>
      <c r="Z136" s="306"/>
      <c r="AA136" s="306"/>
      <c r="AB136" s="306"/>
      <c r="AC136" s="306"/>
      <c r="AD136" s="306"/>
      <c r="AE136" s="306"/>
    </row>
    <row r="137" spans="1:31" ht="12.75">
      <c r="A137" s="111"/>
      <c r="L137" s="306"/>
      <c r="M137" s="306"/>
      <c r="N137" s="306"/>
      <c r="O137" s="306"/>
      <c r="P137" s="306"/>
      <c r="Q137" s="306"/>
      <c r="R137" s="306"/>
      <c r="S137" s="306"/>
      <c r="T137" s="306"/>
      <c r="U137" s="306"/>
      <c r="V137" s="306"/>
      <c r="W137" s="306"/>
      <c r="X137" s="306"/>
      <c r="Y137" s="306"/>
      <c r="Z137" s="306"/>
      <c r="AA137" s="306"/>
      <c r="AB137" s="306"/>
      <c r="AC137" s="306"/>
      <c r="AD137" s="306"/>
      <c r="AE137" s="306"/>
    </row>
    <row r="138" spans="1:31" ht="12.75">
      <c r="A138" s="111"/>
      <c r="L138" s="306"/>
      <c r="M138" s="306"/>
      <c r="N138" s="306"/>
      <c r="O138" s="306"/>
      <c r="P138" s="306"/>
      <c r="Q138" s="306"/>
      <c r="R138" s="306"/>
      <c r="S138" s="306"/>
      <c r="T138" s="306"/>
      <c r="U138" s="306"/>
      <c r="V138" s="306"/>
      <c r="W138" s="306"/>
      <c r="X138" s="306"/>
      <c r="Y138" s="306"/>
      <c r="Z138" s="306"/>
      <c r="AA138" s="306"/>
      <c r="AB138" s="306"/>
      <c r="AC138" s="306"/>
      <c r="AD138" s="306"/>
      <c r="AE138" s="306"/>
    </row>
    <row r="139" spans="1:31" ht="12.75">
      <c r="A139" s="111"/>
      <c r="L139" s="306"/>
      <c r="M139" s="306"/>
      <c r="N139" s="306"/>
      <c r="O139" s="306"/>
      <c r="P139" s="306"/>
      <c r="Q139" s="306"/>
      <c r="R139" s="306"/>
      <c r="S139" s="306"/>
      <c r="T139" s="306"/>
      <c r="U139" s="306"/>
      <c r="V139" s="306"/>
      <c r="W139" s="306"/>
      <c r="X139" s="306"/>
      <c r="Y139" s="306"/>
      <c r="Z139" s="306"/>
      <c r="AA139" s="306"/>
      <c r="AB139" s="306"/>
      <c r="AC139" s="306"/>
      <c r="AD139" s="306"/>
      <c r="AE139" s="306"/>
    </row>
    <row r="140" spans="1:31" ht="12.75">
      <c r="A140" s="111"/>
      <c r="L140" s="306"/>
      <c r="M140" s="306"/>
      <c r="N140" s="306"/>
      <c r="O140" s="306"/>
      <c r="P140" s="306"/>
      <c r="Q140" s="306"/>
      <c r="R140" s="306"/>
      <c r="S140" s="306"/>
      <c r="T140" s="306"/>
      <c r="U140" s="306"/>
      <c r="V140" s="306"/>
      <c r="W140" s="306"/>
      <c r="X140" s="306"/>
      <c r="Y140" s="306"/>
      <c r="Z140" s="306"/>
      <c r="AA140" s="306"/>
      <c r="AB140" s="306"/>
      <c r="AC140" s="306"/>
      <c r="AD140" s="306"/>
      <c r="AE140" s="306"/>
    </row>
    <row r="141" spans="1:31" ht="12.75">
      <c r="A141" s="111"/>
      <c r="L141" s="306"/>
      <c r="M141" s="306"/>
      <c r="N141" s="306"/>
      <c r="O141" s="306"/>
      <c r="P141" s="306"/>
      <c r="Q141" s="306"/>
      <c r="R141" s="306"/>
      <c r="S141" s="306"/>
      <c r="T141" s="306"/>
      <c r="U141" s="306"/>
      <c r="V141" s="306"/>
      <c r="W141" s="306"/>
      <c r="X141" s="306"/>
      <c r="Y141" s="306"/>
      <c r="Z141" s="306"/>
      <c r="AA141" s="306"/>
      <c r="AB141" s="306"/>
      <c r="AC141" s="306"/>
      <c r="AD141" s="306"/>
      <c r="AE141" s="306"/>
    </row>
    <row r="142" spans="1:31" ht="12.75">
      <c r="A142" s="111"/>
      <c r="L142" s="306"/>
      <c r="M142" s="306"/>
      <c r="N142" s="306"/>
      <c r="O142" s="306"/>
      <c r="P142" s="306"/>
      <c r="Q142" s="306"/>
      <c r="R142" s="306"/>
      <c r="S142" s="306"/>
      <c r="T142" s="306"/>
      <c r="U142" s="306"/>
      <c r="V142" s="306"/>
      <c r="W142" s="306"/>
      <c r="X142" s="306"/>
      <c r="Y142" s="306"/>
      <c r="Z142" s="306"/>
      <c r="AA142" s="306"/>
      <c r="AB142" s="306"/>
      <c r="AC142" s="306"/>
      <c r="AD142" s="306"/>
      <c r="AE142" s="306"/>
    </row>
    <row r="143" spans="1:31" ht="12.75">
      <c r="A143" s="111"/>
      <c r="L143" s="306"/>
      <c r="M143" s="306"/>
      <c r="N143" s="306"/>
      <c r="O143" s="306"/>
      <c r="P143" s="306"/>
      <c r="Q143" s="306"/>
      <c r="R143" s="306"/>
      <c r="S143" s="306"/>
      <c r="T143" s="306"/>
      <c r="U143" s="306"/>
      <c r="V143" s="306"/>
      <c r="W143" s="306"/>
      <c r="X143" s="306"/>
      <c r="Y143" s="306"/>
      <c r="Z143" s="306"/>
      <c r="AA143" s="306"/>
      <c r="AB143" s="306"/>
      <c r="AC143" s="306"/>
      <c r="AD143" s="306"/>
      <c r="AE143" s="306"/>
    </row>
    <row r="144" spans="1:31" ht="12.75">
      <c r="A144" s="111"/>
      <c r="L144" s="306"/>
      <c r="M144" s="306"/>
      <c r="N144" s="306"/>
      <c r="O144" s="306"/>
      <c r="P144" s="306"/>
      <c r="Q144" s="306"/>
      <c r="R144" s="306"/>
      <c r="S144" s="306"/>
      <c r="T144" s="306"/>
      <c r="U144" s="306"/>
      <c r="V144" s="306"/>
      <c r="W144" s="306"/>
      <c r="X144" s="306"/>
      <c r="Y144" s="306"/>
      <c r="Z144" s="306"/>
      <c r="AA144" s="306"/>
      <c r="AB144" s="306"/>
      <c r="AC144" s="306"/>
      <c r="AD144" s="306"/>
      <c r="AE144" s="306"/>
    </row>
    <row r="145" spans="1:31" ht="12.75">
      <c r="A145" s="111"/>
      <c r="L145" s="306"/>
      <c r="M145" s="306"/>
      <c r="N145" s="306"/>
      <c r="O145" s="306"/>
      <c r="P145" s="306"/>
      <c r="Q145" s="306"/>
      <c r="R145" s="306"/>
      <c r="S145" s="306"/>
      <c r="T145" s="306"/>
      <c r="U145" s="306"/>
      <c r="V145" s="306"/>
      <c r="W145" s="306"/>
      <c r="X145" s="306"/>
      <c r="Y145" s="306"/>
      <c r="Z145" s="306"/>
      <c r="AA145" s="306"/>
      <c r="AB145" s="306"/>
      <c r="AC145" s="306"/>
      <c r="AD145" s="306"/>
      <c r="AE145" s="306"/>
    </row>
    <row r="146" spans="1:31" ht="12.75">
      <c r="A146" s="111"/>
      <c r="L146" s="306"/>
      <c r="M146" s="306"/>
      <c r="N146" s="306"/>
      <c r="O146" s="306"/>
      <c r="P146" s="306"/>
      <c r="Q146" s="306"/>
      <c r="R146" s="306"/>
      <c r="S146" s="306"/>
      <c r="T146" s="306"/>
      <c r="U146" s="306"/>
      <c r="V146" s="306"/>
      <c r="W146" s="306"/>
      <c r="X146" s="306"/>
      <c r="Y146" s="306"/>
      <c r="Z146" s="306"/>
      <c r="AA146" s="306"/>
      <c r="AB146" s="306"/>
      <c r="AC146" s="306"/>
      <c r="AD146" s="306"/>
      <c r="AE146" s="306"/>
    </row>
    <row r="147" spans="1:31" ht="12.75">
      <c r="A147" s="111"/>
      <c r="L147" s="306"/>
      <c r="M147" s="306"/>
      <c r="N147" s="306"/>
      <c r="O147" s="306"/>
      <c r="P147" s="306"/>
      <c r="Q147" s="306"/>
      <c r="R147" s="306"/>
      <c r="S147" s="306"/>
      <c r="T147" s="306"/>
      <c r="U147" s="306"/>
      <c r="V147" s="306"/>
      <c r="W147" s="306"/>
      <c r="X147" s="306"/>
      <c r="Y147" s="306"/>
      <c r="Z147" s="306"/>
      <c r="AA147" s="306"/>
      <c r="AB147" s="306"/>
      <c r="AC147" s="306"/>
      <c r="AD147" s="306"/>
      <c r="AE147" s="306"/>
    </row>
    <row r="148" spans="1:31" ht="12.75">
      <c r="A148" s="111"/>
      <c r="L148" s="306"/>
      <c r="M148" s="306"/>
      <c r="N148" s="306"/>
      <c r="O148" s="306"/>
      <c r="P148" s="306"/>
      <c r="Q148" s="306"/>
      <c r="R148" s="306"/>
      <c r="S148" s="306"/>
      <c r="T148" s="306"/>
      <c r="U148" s="306"/>
      <c r="V148" s="306"/>
      <c r="W148" s="306"/>
      <c r="X148" s="306"/>
      <c r="Y148" s="306"/>
      <c r="Z148" s="306"/>
      <c r="AA148" s="306"/>
      <c r="AB148" s="306"/>
      <c r="AC148" s="306"/>
      <c r="AD148" s="306"/>
      <c r="AE148" s="306"/>
    </row>
    <row r="149" spans="1:31" ht="12.75">
      <c r="A149" s="111"/>
      <c r="L149" s="306"/>
      <c r="M149" s="306"/>
      <c r="N149" s="306"/>
      <c r="O149" s="306"/>
      <c r="P149" s="306"/>
      <c r="Q149" s="306"/>
      <c r="R149" s="306"/>
      <c r="S149" s="306"/>
      <c r="T149" s="306"/>
      <c r="U149" s="306"/>
      <c r="V149" s="306"/>
      <c r="W149" s="306"/>
      <c r="X149" s="306"/>
      <c r="Y149" s="306"/>
      <c r="Z149" s="306"/>
      <c r="AA149" s="306"/>
      <c r="AB149" s="306"/>
      <c r="AC149" s="306"/>
      <c r="AD149" s="306"/>
      <c r="AE149" s="306"/>
    </row>
    <row r="150" spans="1:31" ht="12.75">
      <c r="A150" s="111"/>
      <c r="L150" s="306"/>
      <c r="M150" s="306"/>
      <c r="N150" s="306"/>
      <c r="O150" s="306"/>
      <c r="P150" s="306"/>
      <c r="Q150" s="306"/>
      <c r="R150" s="306"/>
      <c r="S150" s="306"/>
      <c r="T150" s="306"/>
      <c r="U150" s="306"/>
      <c r="V150" s="306"/>
      <c r="W150" s="306"/>
      <c r="X150" s="306"/>
      <c r="Y150" s="306"/>
      <c r="Z150" s="306"/>
      <c r="AA150" s="306"/>
      <c r="AB150" s="306"/>
      <c r="AC150" s="306"/>
      <c r="AD150" s="306"/>
      <c r="AE150" s="306"/>
    </row>
    <row r="151" spans="1:31" ht="12.75">
      <c r="A151" s="111"/>
      <c r="L151" s="306"/>
      <c r="M151" s="306"/>
      <c r="N151" s="306"/>
      <c r="O151" s="306"/>
      <c r="P151" s="306"/>
      <c r="Q151" s="306"/>
      <c r="R151" s="306"/>
      <c r="S151" s="306"/>
      <c r="T151" s="306"/>
      <c r="U151" s="306"/>
      <c r="V151" s="306"/>
      <c r="W151" s="306"/>
      <c r="X151" s="306"/>
      <c r="Y151" s="306"/>
      <c r="Z151" s="306"/>
      <c r="AA151" s="306"/>
      <c r="AB151" s="306"/>
      <c r="AC151" s="306"/>
      <c r="AD151" s="306"/>
      <c r="AE151" s="306"/>
    </row>
    <row r="152" spans="1:31" ht="12.75">
      <c r="A152" s="111"/>
      <c r="L152" s="306"/>
      <c r="M152" s="306"/>
      <c r="N152" s="306"/>
      <c r="O152" s="306"/>
      <c r="P152" s="306"/>
      <c r="Q152" s="306"/>
      <c r="R152" s="306"/>
      <c r="S152" s="306"/>
      <c r="T152" s="306"/>
      <c r="U152" s="306"/>
      <c r="V152" s="306"/>
      <c r="W152" s="306"/>
      <c r="X152" s="306"/>
      <c r="Y152" s="306"/>
      <c r="Z152" s="306"/>
      <c r="AA152" s="306"/>
      <c r="AB152" s="306"/>
      <c r="AC152" s="306"/>
      <c r="AD152" s="306"/>
      <c r="AE152" s="306"/>
    </row>
    <row r="153" spans="1:31" ht="12.75">
      <c r="A153" s="111"/>
      <c r="L153" s="306"/>
      <c r="M153" s="306"/>
      <c r="N153" s="306"/>
      <c r="O153" s="306"/>
      <c r="P153" s="306"/>
      <c r="Q153" s="306"/>
      <c r="R153" s="306"/>
      <c r="S153" s="306"/>
      <c r="T153" s="306"/>
      <c r="U153" s="306"/>
      <c r="V153" s="306"/>
      <c r="W153" s="306"/>
      <c r="X153" s="306"/>
      <c r="Y153" s="306"/>
      <c r="Z153" s="306"/>
      <c r="AA153" s="306"/>
      <c r="AB153" s="306"/>
      <c r="AC153" s="306"/>
      <c r="AD153" s="306"/>
      <c r="AE153" s="306"/>
    </row>
    <row r="154" spans="1:31" ht="12.75">
      <c r="A154" s="111"/>
      <c r="L154" s="306"/>
      <c r="M154" s="306"/>
      <c r="N154" s="306"/>
      <c r="O154" s="306"/>
      <c r="P154" s="306"/>
      <c r="Q154" s="306"/>
      <c r="R154" s="306"/>
      <c r="S154" s="306"/>
      <c r="T154" s="306"/>
      <c r="U154" s="306"/>
      <c r="V154" s="306"/>
      <c r="W154" s="306"/>
      <c r="X154" s="306"/>
      <c r="Y154" s="306"/>
      <c r="Z154" s="306"/>
      <c r="AA154" s="306"/>
      <c r="AB154" s="306"/>
      <c r="AC154" s="306"/>
      <c r="AD154" s="306"/>
      <c r="AE154" s="306"/>
    </row>
    <row r="155" spans="1:31" ht="12.75">
      <c r="A155" s="111"/>
      <c r="L155" s="306"/>
      <c r="M155" s="306"/>
      <c r="N155" s="306"/>
      <c r="O155" s="306"/>
      <c r="P155" s="306"/>
      <c r="Q155" s="306"/>
      <c r="R155" s="306"/>
      <c r="S155" s="306"/>
      <c r="T155" s="306"/>
      <c r="U155" s="306"/>
      <c r="V155" s="306"/>
      <c r="W155" s="306"/>
      <c r="X155" s="306"/>
      <c r="Y155" s="306"/>
      <c r="Z155" s="306"/>
      <c r="AA155" s="306"/>
      <c r="AB155" s="306"/>
      <c r="AC155" s="306"/>
      <c r="AD155" s="306"/>
      <c r="AE155" s="306"/>
    </row>
    <row r="156" spans="1:31" ht="12.75">
      <c r="A156" s="111"/>
      <c r="L156" s="306"/>
      <c r="M156" s="306"/>
      <c r="N156" s="306"/>
      <c r="O156" s="306"/>
      <c r="P156" s="306"/>
      <c r="Q156" s="306"/>
      <c r="R156" s="306"/>
      <c r="S156" s="306"/>
      <c r="T156" s="306"/>
      <c r="U156" s="306"/>
      <c r="V156" s="306"/>
      <c r="W156" s="306"/>
      <c r="X156" s="306"/>
      <c r="Y156" s="306"/>
      <c r="Z156" s="306"/>
      <c r="AA156" s="306"/>
      <c r="AB156" s="306"/>
      <c r="AC156" s="306"/>
      <c r="AD156" s="306"/>
      <c r="AE156" s="306"/>
    </row>
    <row r="157" spans="1:31" ht="12.75">
      <c r="A157" s="111"/>
      <c r="L157" s="306"/>
      <c r="M157" s="306"/>
      <c r="N157" s="306"/>
      <c r="O157" s="306"/>
      <c r="P157" s="306"/>
      <c r="Q157" s="306"/>
      <c r="R157" s="306"/>
      <c r="S157" s="306"/>
      <c r="T157" s="306"/>
      <c r="U157" s="306"/>
      <c r="V157" s="306"/>
      <c r="W157" s="306"/>
      <c r="X157" s="306"/>
      <c r="Y157" s="306"/>
      <c r="Z157" s="306"/>
      <c r="AA157" s="306"/>
      <c r="AB157" s="306"/>
      <c r="AC157" s="306"/>
      <c r="AD157" s="306"/>
      <c r="AE157" s="306"/>
    </row>
    <row r="158" spans="1:31" ht="12.75">
      <c r="A158" s="111"/>
      <c r="L158" s="306"/>
      <c r="M158" s="306"/>
      <c r="N158" s="306"/>
      <c r="O158" s="306"/>
      <c r="P158" s="306"/>
      <c r="Q158" s="306"/>
      <c r="R158" s="306"/>
      <c r="S158" s="306"/>
      <c r="T158" s="306"/>
      <c r="U158" s="306"/>
      <c r="V158" s="306"/>
      <c r="W158" s="306"/>
      <c r="X158" s="306"/>
      <c r="Y158" s="306"/>
      <c r="Z158" s="306"/>
      <c r="AA158" s="306"/>
      <c r="AB158" s="306"/>
      <c r="AC158" s="306"/>
      <c r="AD158" s="306"/>
      <c r="AE158" s="306"/>
    </row>
    <row r="159" spans="1:31" ht="12.75">
      <c r="A159" s="111"/>
      <c r="L159" s="306"/>
      <c r="M159" s="306"/>
      <c r="N159" s="306"/>
      <c r="O159" s="306"/>
      <c r="P159" s="306"/>
      <c r="Q159" s="306"/>
      <c r="R159" s="306"/>
      <c r="S159" s="306"/>
      <c r="T159" s="306"/>
      <c r="U159" s="306"/>
      <c r="V159" s="306"/>
      <c r="W159" s="306"/>
      <c r="X159" s="306"/>
      <c r="Y159" s="306"/>
      <c r="Z159" s="306"/>
      <c r="AA159" s="306"/>
      <c r="AB159" s="306"/>
      <c r="AC159" s="306"/>
      <c r="AD159" s="306"/>
      <c r="AE159" s="306"/>
    </row>
    <row r="160" spans="1:31" ht="12.75">
      <c r="A160" s="111"/>
      <c r="L160" s="306"/>
      <c r="M160" s="306"/>
      <c r="N160" s="306"/>
      <c r="O160" s="306"/>
      <c r="P160" s="306"/>
      <c r="Q160" s="306"/>
      <c r="R160" s="306"/>
      <c r="S160" s="306"/>
      <c r="T160" s="306"/>
      <c r="U160" s="306"/>
      <c r="V160" s="306"/>
      <c r="W160" s="306"/>
      <c r="X160" s="306"/>
      <c r="Y160" s="306"/>
      <c r="Z160" s="306"/>
      <c r="AA160" s="306"/>
      <c r="AB160" s="306"/>
      <c r="AC160" s="306"/>
      <c r="AD160" s="306"/>
      <c r="AE160" s="306"/>
    </row>
    <row r="161" spans="1:31" ht="12.75">
      <c r="A161" s="111"/>
      <c r="L161" s="306"/>
      <c r="M161" s="306"/>
      <c r="N161" s="306"/>
      <c r="O161" s="306"/>
      <c r="P161" s="306"/>
      <c r="Q161" s="306"/>
      <c r="R161" s="306"/>
      <c r="S161" s="306"/>
      <c r="T161" s="306"/>
      <c r="U161" s="306"/>
      <c r="V161" s="306"/>
      <c r="W161" s="306"/>
      <c r="X161" s="306"/>
      <c r="Y161" s="306"/>
      <c r="Z161" s="306"/>
      <c r="AA161" s="306"/>
      <c r="AB161" s="306"/>
      <c r="AC161" s="306"/>
      <c r="AD161" s="306"/>
      <c r="AE161" s="306"/>
    </row>
    <row r="162" spans="1:31" ht="12.75">
      <c r="A162" s="111"/>
      <c r="L162" s="306"/>
      <c r="M162" s="306"/>
      <c r="N162" s="306"/>
      <c r="O162" s="306"/>
      <c r="P162" s="306"/>
      <c r="Q162" s="306"/>
      <c r="R162" s="306"/>
      <c r="S162" s="306"/>
      <c r="T162" s="306"/>
      <c r="U162" s="306"/>
      <c r="V162" s="306"/>
      <c r="W162" s="306"/>
      <c r="X162" s="306"/>
      <c r="Y162" s="306"/>
      <c r="Z162" s="306"/>
      <c r="AA162" s="306"/>
      <c r="AB162" s="306"/>
      <c r="AC162" s="306"/>
      <c r="AD162" s="306"/>
      <c r="AE162" s="306"/>
    </row>
    <row r="163" spans="1:31" ht="12.75">
      <c r="A163" s="111"/>
      <c r="L163" s="306"/>
      <c r="M163" s="306"/>
      <c r="N163" s="306"/>
      <c r="O163" s="306"/>
      <c r="P163" s="306"/>
      <c r="Q163" s="306"/>
      <c r="R163" s="306"/>
      <c r="S163" s="306"/>
      <c r="T163" s="306"/>
      <c r="U163" s="306"/>
      <c r="V163" s="306"/>
      <c r="W163" s="306"/>
      <c r="X163" s="306"/>
      <c r="Y163" s="306"/>
      <c r="Z163" s="306"/>
      <c r="AA163" s="306"/>
      <c r="AB163" s="306"/>
      <c r="AC163" s="306"/>
      <c r="AD163" s="306"/>
      <c r="AE163" s="306"/>
    </row>
    <row r="164" spans="1:31" ht="12.75">
      <c r="A164" s="111"/>
      <c r="L164" s="306"/>
      <c r="M164" s="306"/>
      <c r="N164" s="306"/>
      <c r="O164" s="306"/>
      <c r="P164" s="306"/>
      <c r="Q164" s="306"/>
      <c r="R164" s="306"/>
      <c r="S164" s="306"/>
      <c r="T164" s="306"/>
      <c r="U164" s="306"/>
      <c r="V164" s="306"/>
      <c r="W164" s="306"/>
      <c r="X164" s="306"/>
      <c r="Y164" s="306"/>
      <c r="Z164" s="306"/>
      <c r="AA164" s="306"/>
      <c r="AB164" s="306"/>
      <c r="AC164" s="306"/>
      <c r="AD164" s="306"/>
      <c r="AE164" s="306"/>
    </row>
    <row r="165" spans="1:31" ht="12.75">
      <c r="A165" s="111"/>
      <c r="L165" s="306"/>
      <c r="M165" s="306"/>
      <c r="N165" s="306"/>
      <c r="O165" s="306"/>
      <c r="P165" s="306"/>
      <c r="Q165" s="306"/>
      <c r="R165" s="306"/>
      <c r="S165" s="306"/>
      <c r="T165" s="306"/>
      <c r="U165" s="306"/>
      <c r="V165" s="306"/>
      <c r="W165" s="306"/>
      <c r="X165" s="306"/>
      <c r="Y165" s="306"/>
      <c r="Z165" s="306"/>
      <c r="AA165" s="306"/>
      <c r="AB165" s="306"/>
      <c r="AC165" s="306"/>
      <c r="AD165" s="306"/>
      <c r="AE165" s="306"/>
    </row>
    <row r="166" spans="1:31" ht="12.75">
      <c r="A166" s="111"/>
      <c r="L166" s="306"/>
      <c r="M166" s="306"/>
      <c r="N166" s="306"/>
      <c r="O166" s="306"/>
      <c r="P166" s="306"/>
      <c r="Q166" s="306"/>
      <c r="R166" s="306"/>
      <c r="S166" s="306"/>
      <c r="T166" s="306"/>
      <c r="U166" s="306"/>
      <c r="V166" s="306"/>
      <c r="W166" s="306"/>
      <c r="X166" s="306"/>
      <c r="Y166" s="306"/>
      <c r="Z166" s="306"/>
      <c r="AA166" s="306"/>
      <c r="AB166" s="306"/>
      <c r="AC166" s="306"/>
      <c r="AD166" s="306"/>
      <c r="AE166" s="306"/>
    </row>
    <row r="167" spans="1:31" ht="12.75">
      <c r="A167" s="111"/>
      <c r="L167" s="306"/>
      <c r="M167" s="306"/>
      <c r="N167" s="306"/>
      <c r="O167" s="306"/>
      <c r="P167" s="306"/>
      <c r="Q167" s="306"/>
      <c r="R167" s="306"/>
      <c r="S167" s="306"/>
      <c r="T167" s="306"/>
      <c r="U167" s="306"/>
      <c r="V167" s="306"/>
      <c r="W167" s="306"/>
      <c r="X167" s="306"/>
      <c r="Y167" s="306"/>
      <c r="Z167" s="306"/>
      <c r="AA167" s="306"/>
      <c r="AB167" s="306"/>
      <c r="AC167" s="306"/>
      <c r="AD167" s="306"/>
      <c r="AE167" s="306"/>
    </row>
    <row r="168" spans="12:31" ht="12.75">
      <c r="L168" s="306"/>
      <c r="M168" s="306"/>
      <c r="N168" s="306"/>
      <c r="O168" s="306"/>
      <c r="P168" s="306"/>
      <c r="Q168" s="306"/>
      <c r="R168" s="306"/>
      <c r="S168" s="306"/>
      <c r="T168" s="306"/>
      <c r="U168" s="306"/>
      <c r="V168" s="306"/>
      <c r="W168" s="306"/>
      <c r="X168" s="306"/>
      <c r="Y168" s="306"/>
      <c r="Z168" s="306"/>
      <c r="AA168" s="306"/>
      <c r="AB168" s="306"/>
      <c r="AC168" s="306"/>
      <c r="AD168" s="306"/>
      <c r="AE168" s="306"/>
    </row>
    <row r="169" spans="12:31" ht="12.75">
      <c r="L169" s="306"/>
      <c r="M169" s="306"/>
      <c r="N169" s="306"/>
      <c r="O169" s="306"/>
      <c r="P169" s="306"/>
      <c r="Q169" s="306"/>
      <c r="R169" s="306"/>
      <c r="S169" s="306"/>
      <c r="T169" s="306"/>
      <c r="U169" s="306"/>
      <c r="V169" s="306"/>
      <c r="W169" s="306"/>
      <c r="X169" s="306"/>
      <c r="Y169" s="306"/>
      <c r="Z169" s="306"/>
      <c r="AA169" s="306"/>
      <c r="AB169" s="306"/>
      <c r="AC169" s="306"/>
      <c r="AD169" s="306"/>
      <c r="AE169" s="306"/>
    </row>
    <row r="170" spans="12:31" ht="12.75">
      <c r="L170" s="306"/>
      <c r="M170" s="306"/>
      <c r="N170" s="306"/>
      <c r="O170" s="306"/>
      <c r="P170" s="306"/>
      <c r="Q170" s="306"/>
      <c r="R170" s="306"/>
      <c r="S170" s="306"/>
      <c r="T170" s="306"/>
      <c r="U170" s="306"/>
      <c r="V170" s="306"/>
      <c r="W170" s="306"/>
      <c r="X170" s="306"/>
      <c r="Y170" s="306"/>
      <c r="Z170" s="306"/>
      <c r="AA170" s="306"/>
      <c r="AB170" s="306"/>
      <c r="AC170" s="306"/>
      <c r="AD170" s="306"/>
      <c r="AE170" s="306"/>
    </row>
    <row r="171" spans="12:31" ht="12.75">
      <c r="L171" s="306"/>
      <c r="M171" s="306"/>
      <c r="N171" s="306"/>
      <c r="O171" s="306"/>
      <c r="P171" s="306"/>
      <c r="Q171" s="306"/>
      <c r="R171" s="306"/>
      <c r="S171" s="306"/>
      <c r="T171" s="306"/>
      <c r="U171" s="306"/>
      <c r="V171" s="306"/>
      <c r="W171" s="306"/>
      <c r="X171" s="306"/>
      <c r="Y171" s="306"/>
      <c r="Z171" s="306"/>
      <c r="AA171" s="306"/>
      <c r="AB171" s="306"/>
      <c r="AC171" s="306"/>
      <c r="AD171" s="306"/>
      <c r="AE171" s="306"/>
    </row>
    <row r="172" spans="12:31" ht="12.75">
      <c r="L172" s="306"/>
      <c r="M172" s="306"/>
      <c r="N172" s="306"/>
      <c r="O172" s="306"/>
      <c r="P172" s="306"/>
      <c r="Q172" s="306"/>
      <c r="R172" s="306"/>
      <c r="S172" s="306"/>
      <c r="T172" s="306"/>
      <c r="U172" s="306"/>
      <c r="V172" s="306"/>
      <c r="W172" s="306"/>
      <c r="X172" s="306"/>
      <c r="Y172" s="306"/>
      <c r="Z172" s="306"/>
      <c r="AA172" s="306"/>
      <c r="AB172" s="306"/>
      <c r="AC172" s="306"/>
      <c r="AD172" s="306"/>
      <c r="AE172" s="306"/>
    </row>
    <row r="173" spans="12:31" ht="12.75">
      <c r="L173" s="306"/>
      <c r="M173" s="306"/>
      <c r="N173" s="306"/>
      <c r="O173" s="306"/>
      <c r="P173" s="306"/>
      <c r="Q173" s="306"/>
      <c r="R173" s="306"/>
      <c r="S173" s="306"/>
      <c r="T173" s="306"/>
      <c r="U173" s="306"/>
      <c r="V173" s="306"/>
      <c r="W173" s="306"/>
      <c r="X173" s="306"/>
      <c r="Y173" s="306"/>
      <c r="Z173" s="306"/>
      <c r="AA173" s="306"/>
      <c r="AB173" s="306"/>
      <c r="AC173" s="306"/>
      <c r="AD173" s="306"/>
      <c r="AE173" s="306"/>
    </row>
    <row r="174" spans="12:31" ht="12.75">
      <c r="L174" s="306"/>
      <c r="M174" s="306"/>
      <c r="N174" s="306"/>
      <c r="O174" s="306"/>
      <c r="P174" s="306"/>
      <c r="Q174" s="306"/>
      <c r="R174" s="306"/>
      <c r="S174" s="306"/>
      <c r="T174" s="306"/>
      <c r="U174" s="306"/>
      <c r="V174" s="306"/>
      <c r="W174" s="306"/>
      <c r="X174" s="306"/>
      <c r="Y174" s="306"/>
      <c r="Z174" s="306"/>
      <c r="AA174" s="306"/>
      <c r="AB174" s="306"/>
      <c r="AC174" s="306"/>
      <c r="AD174" s="306"/>
      <c r="AE174" s="306"/>
    </row>
    <row r="175" spans="12:31" ht="12.75">
      <c r="L175" s="306"/>
      <c r="M175" s="306"/>
      <c r="N175" s="306"/>
      <c r="O175" s="306"/>
      <c r="P175" s="306"/>
      <c r="Q175" s="306"/>
      <c r="R175" s="306"/>
      <c r="S175" s="306"/>
      <c r="T175" s="306"/>
      <c r="U175" s="306"/>
      <c r="V175" s="306"/>
      <c r="W175" s="306"/>
      <c r="X175" s="306"/>
      <c r="Y175" s="306"/>
      <c r="Z175" s="306"/>
      <c r="AA175" s="306"/>
      <c r="AB175" s="306"/>
      <c r="AC175" s="306"/>
      <c r="AD175" s="306"/>
      <c r="AE175" s="306"/>
    </row>
    <row r="176" spans="12:31" ht="12.75">
      <c r="L176" s="306"/>
      <c r="M176" s="306"/>
      <c r="N176" s="306"/>
      <c r="O176" s="306"/>
      <c r="P176" s="306"/>
      <c r="Q176" s="306"/>
      <c r="R176" s="306"/>
      <c r="S176" s="306"/>
      <c r="T176" s="306"/>
      <c r="U176" s="306"/>
      <c r="V176" s="306"/>
      <c r="W176" s="306"/>
      <c r="X176" s="306"/>
      <c r="Y176" s="306"/>
      <c r="Z176" s="306"/>
      <c r="AA176" s="306"/>
      <c r="AB176" s="306"/>
      <c r="AC176" s="306"/>
      <c r="AD176" s="306"/>
      <c r="AE176" s="306"/>
    </row>
    <row r="177" spans="12:31" ht="12.75">
      <c r="L177" s="306"/>
      <c r="M177" s="306"/>
      <c r="N177" s="306"/>
      <c r="O177" s="306"/>
      <c r="P177" s="306"/>
      <c r="Q177" s="306"/>
      <c r="R177" s="306"/>
      <c r="S177" s="306"/>
      <c r="T177" s="306"/>
      <c r="U177" s="306"/>
      <c r="V177" s="306"/>
      <c r="W177" s="306"/>
      <c r="X177" s="306"/>
      <c r="Y177" s="306"/>
      <c r="Z177" s="306"/>
      <c r="AA177" s="306"/>
      <c r="AB177" s="306"/>
      <c r="AC177" s="306"/>
      <c r="AD177" s="306"/>
      <c r="AE177" s="306"/>
    </row>
    <row r="178" spans="12:31" ht="12.75">
      <c r="L178" s="306"/>
      <c r="M178" s="306"/>
      <c r="N178" s="306"/>
      <c r="O178" s="306"/>
      <c r="P178" s="306"/>
      <c r="Q178" s="306"/>
      <c r="R178" s="306"/>
      <c r="S178" s="306"/>
      <c r="T178" s="306"/>
      <c r="U178" s="306"/>
      <c r="V178" s="306"/>
      <c r="W178" s="306"/>
      <c r="X178" s="306"/>
      <c r="Y178" s="306"/>
      <c r="Z178" s="306"/>
      <c r="AA178" s="306"/>
      <c r="AB178" s="306"/>
      <c r="AC178" s="306"/>
      <c r="AD178" s="306"/>
      <c r="AE178" s="306"/>
    </row>
    <row r="179" spans="12:31" ht="12.75">
      <c r="L179" s="306"/>
      <c r="M179" s="306"/>
      <c r="N179" s="306"/>
      <c r="O179" s="306"/>
      <c r="P179" s="306"/>
      <c r="Q179" s="306"/>
      <c r="R179" s="306"/>
      <c r="S179" s="306"/>
      <c r="T179" s="306"/>
      <c r="U179" s="306"/>
      <c r="V179" s="306"/>
      <c r="W179" s="306"/>
      <c r="X179" s="306"/>
      <c r="Y179" s="306"/>
      <c r="Z179" s="306"/>
      <c r="AA179" s="306"/>
      <c r="AB179" s="306"/>
      <c r="AC179" s="306"/>
      <c r="AD179" s="306"/>
      <c r="AE179" s="306"/>
    </row>
    <row r="180" spans="12:31" ht="12.75">
      <c r="L180" s="306"/>
      <c r="M180" s="306"/>
      <c r="N180" s="306"/>
      <c r="O180" s="306"/>
      <c r="P180" s="306"/>
      <c r="Q180" s="306"/>
      <c r="R180" s="306"/>
      <c r="S180" s="306"/>
      <c r="T180" s="306"/>
      <c r="U180" s="306"/>
      <c r="V180" s="306"/>
      <c r="W180" s="306"/>
      <c r="X180" s="306"/>
      <c r="Y180" s="306"/>
      <c r="Z180" s="306"/>
      <c r="AA180" s="306"/>
      <c r="AB180" s="306"/>
      <c r="AC180" s="306"/>
      <c r="AD180" s="306"/>
      <c r="AE180" s="306"/>
    </row>
    <row r="181" spans="12:31" ht="12.75">
      <c r="L181" s="306"/>
      <c r="M181" s="306"/>
      <c r="N181" s="306"/>
      <c r="O181" s="306"/>
      <c r="P181" s="306"/>
      <c r="Q181" s="306"/>
      <c r="R181" s="306"/>
      <c r="S181" s="306"/>
      <c r="T181" s="306"/>
      <c r="U181" s="306"/>
      <c r="V181" s="306"/>
      <c r="W181" s="306"/>
      <c r="X181" s="306"/>
      <c r="Y181" s="306"/>
      <c r="Z181" s="306"/>
      <c r="AA181" s="306"/>
      <c r="AB181" s="306"/>
      <c r="AC181" s="306"/>
      <c r="AD181" s="306"/>
      <c r="AE181" s="306"/>
    </row>
    <row r="182" spans="12:31" ht="12.75">
      <c r="L182" s="306"/>
      <c r="M182" s="306"/>
      <c r="N182" s="306"/>
      <c r="O182" s="306"/>
      <c r="P182" s="306"/>
      <c r="Q182" s="306"/>
      <c r="R182" s="306"/>
      <c r="S182" s="306"/>
      <c r="T182" s="306"/>
      <c r="U182" s="306"/>
      <c r="V182" s="306"/>
      <c r="W182" s="306"/>
      <c r="X182" s="306"/>
      <c r="Y182" s="306"/>
      <c r="Z182" s="306"/>
      <c r="AA182" s="306"/>
      <c r="AB182" s="306"/>
      <c r="AC182" s="306"/>
      <c r="AD182" s="306"/>
      <c r="AE182" s="306"/>
    </row>
  </sheetData>
  <sheetProtection sheet="1" objects="1" scenarios="1"/>
  <mergeCells count="2">
    <mergeCell ref="H6:I6"/>
    <mergeCell ref="H7:I7"/>
  </mergeCells>
  <printOptions/>
  <pageMargins left="0.75" right="0.75" top="1" bottom="1" header="0.5" footer="0.5"/>
  <pageSetup horizontalDpi="600" verticalDpi="600" orientation="portrait" scale="69" r:id="rId3"/>
  <rowBreaks count="1" manualBreakCount="1">
    <brk id="69" max="10" man="1"/>
  </rowBreaks>
  <legacyDrawing r:id="rId2"/>
</worksheet>
</file>

<file path=xl/worksheets/sheet8.xml><?xml version="1.0" encoding="utf-8"?>
<worksheet xmlns="http://schemas.openxmlformats.org/spreadsheetml/2006/main" xmlns:r="http://schemas.openxmlformats.org/officeDocument/2006/relationships">
  <sheetPr codeName="Sheet7"/>
  <dimension ref="B1:I71"/>
  <sheetViews>
    <sheetView showGridLines="0" workbookViewId="0" topLeftCell="A1">
      <selection activeCell="B5" sqref="B5"/>
    </sheetView>
  </sheetViews>
  <sheetFormatPr defaultColWidth="9.140625" defaultRowHeight="12.75"/>
  <cols>
    <col min="1" max="1" width="5.00390625" style="0" customWidth="1"/>
    <col min="2" max="2" width="9.57421875" style="0" customWidth="1"/>
    <col min="3" max="3" width="12.421875" style="0" customWidth="1"/>
    <col min="7" max="7" width="9.7109375" style="0" customWidth="1"/>
    <col min="9" max="9" width="10.421875" style="0" customWidth="1"/>
  </cols>
  <sheetData>
    <row r="1" spans="2:9" ht="12.75">
      <c r="B1" s="152" t="s">
        <v>356</v>
      </c>
      <c r="C1" s="1"/>
      <c r="D1" s="1"/>
      <c r="E1" s="1"/>
      <c r="F1" s="1"/>
      <c r="G1" s="1"/>
      <c r="H1" s="1"/>
      <c r="I1" s="1"/>
    </row>
    <row r="2" spans="2:9" ht="12.75">
      <c r="B2" s="152" t="s">
        <v>357</v>
      </c>
      <c r="C2" s="1"/>
      <c r="D2" s="209" t="s">
        <v>44</v>
      </c>
      <c r="E2" s="1"/>
      <c r="F2" s="1"/>
      <c r="H2" s="1"/>
      <c r="I2" s="1"/>
    </row>
    <row r="3" ht="12.75">
      <c r="B3" s="208" t="s">
        <v>268</v>
      </c>
    </row>
    <row r="4" ht="12.75">
      <c r="B4" s="165" t="s">
        <v>256</v>
      </c>
    </row>
    <row r="5" ht="13.5" thickBot="1"/>
    <row r="6" spans="2:9" ht="12.75" customHeight="1" thickTop="1">
      <c r="B6" s="167" t="s">
        <v>223</v>
      </c>
      <c r="C6" s="168"/>
      <c r="D6" s="168"/>
      <c r="E6" s="168"/>
      <c r="F6" s="168"/>
      <c r="G6" s="168"/>
      <c r="H6" s="168"/>
      <c r="I6" s="169"/>
    </row>
    <row r="7" spans="2:9" ht="12.75">
      <c r="B7" s="170" t="s">
        <v>224</v>
      </c>
      <c r="C7" s="1"/>
      <c r="D7" s="1"/>
      <c r="E7" s="1"/>
      <c r="F7" s="1"/>
      <c r="G7" s="1"/>
      <c r="H7" s="1"/>
      <c r="I7" s="171"/>
    </row>
    <row r="8" spans="2:9" ht="12.75">
      <c r="B8" s="170" t="s">
        <v>225</v>
      </c>
      <c r="C8" s="1"/>
      <c r="D8" s="1"/>
      <c r="E8" s="1"/>
      <c r="F8" s="1"/>
      <c r="G8" s="1"/>
      <c r="H8" s="1"/>
      <c r="I8" s="171"/>
    </row>
    <row r="9" spans="2:9" ht="12.75">
      <c r="B9" s="170"/>
      <c r="C9" s="1"/>
      <c r="D9" s="1"/>
      <c r="E9" s="1"/>
      <c r="F9" s="1"/>
      <c r="G9" s="1"/>
      <c r="H9" s="1"/>
      <c r="I9" s="171"/>
    </row>
    <row r="10" spans="2:9" ht="14.25">
      <c r="B10" s="172" t="s">
        <v>227</v>
      </c>
      <c r="C10" s="1"/>
      <c r="D10" s="1"/>
      <c r="E10" s="1"/>
      <c r="F10" s="1"/>
      <c r="G10" s="1"/>
      <c r="H10" s="1"/>
      <c r="I10" s="171"/>
    </row>
    <row r="11" spans="2:9" ht="12.75">
      <c r="B11" s="172"/>
      <c r="C11" s="1"/>
      <c r="D11" s="1"/>
      <c r="E11" s="1"/>
      <c r="F11" s="1"/>
      <c r="G11" s="1"/>
      <c r="H11" s="1"/>
      <c r="I11" s="171"/>
    </row>
    <row r="12" spans="2:9" ht="12.75">
      <c r="B12" s="170" t="s">
        <v>226</v>
      </c>
      <c r="C12" s="173" t="s">
        <v>237</v>
      </c>
      <c r="D12" s="1"/>
      <c r="E12" s="1"/>
      <c r="F12" s="1"/>
      <c r="G12" s="1"/>
      <c r="H12" s="1"/>
      <c r="I12" s="171"/>
    </row>
    <row r="13" spans="2:9" ht="12.75">
      <c r="B13" s="170"/>
      <c r="C13" s="173" t="s">
        <v>228</v>
      </c>
      <c r="D13" s="1"/>
      <c r="E13" s="1"/>
      <c r="F13" s="1"/>
      <c r="G13" s="1"/>
      <c r="H13" s="1"/>
      <c r="I13" s="171"/>
    </row>
    <row r="14" spans="2:9" ht="12.75">
      <c r="B14" s="170"/>
      <c r="C14" s="173" t="s">
        <v>229</v>
      </c>
      <c r="D14" s="1"/>
      <c r="E14" s="1"/>
      <c r="F14" s="1"/>
      <c r="G14" s="1"/>
      <c r="H14" s="1"/>
      <c r="I14" s="171"/>
    </row>
    <row r="15" spans="2:9" ht="12.75">
      <c r="B15" s="170"/>
      <c r="C15" s="173" t="s">
        <v>230</v>
      </c>
      <c r="D15" s="1"/>
      <c r="E15" s="1"/>
      <c r="F15" s="1"/>
      <c r="G15" s="1"/>
      <c r="H15" s="1"/>
      <c r="I15" s="171"/>
    </row>
    <row r="16" spans="2:9" ht="12.75">
      <c r="B16" s="170"/>
      <c r="C16" s="1"/>
      <c r="D16" s="1"/>
      <c r="E16" s="1"/>
      <c r="F16" s="1"/>
      <c r="G16" s="1"/>
      <c r="H16" s="1"/>
      <c r="I16" s="171"/>
    </row>
    <row r="17" spans="2:9" ht="12.75">
      <c r="B17" s="170" t="s">
        <v>231</v>
      </c>
      <c r="C17" s="1"/>
      <c r="D17" s="1"/>
      <c r="E17" s="1"/>
      <c r="F17" s="1"/>
      <c r="G17" s="1"/>
      <c r="H17" s="1"/>
      <c r="I17" s="171"/>
    </row>
    <row r="18" spans="2:9" ht="12.75">
      <c r="B18" s="170" t="s">
        <v>232</v>
      </c>
      <c r="C18" s="1"/>
      <c r="D18" s="1"/>
      <c r="E18" s="1"/>
      <c r="F18" s="1"/>
      <c r="G18" s="1"/>
      <c r="H18" s="1"/>
      <c r="I18" s="171"/>
    </row>
    <row r="19" spans="2:9" ht="12.75">
      <c r="B19" s="170"/>
      <c r="C19" s="1"/>
      <c r="D19" s="1"/>
      <c r="E19" s="1"/>
      <c r="F19" s="1"/>
      <c r="G19" s="1"/>
      <c r="H19" s="1"/>
      <c r="I19" s="171"/>
    </row>
    <row r="20" spans="2:9" ht="14.25">
      <c r="B20" s="172" t="s">
        <v>233</v>
      </c>
      <c r="C20" s="1"/>
      <c r="D20" s="409" t="s">
        <v>235</v>
      </c>
      <c r="E20" s="409"/>
      <c r="F20" s="1"/>
      <c r="G20" s="1"/>
      <c r="H20" s="1"/>
      <c r="I20" s="171"/>
    </row>
    <row r="21" spans="2:9" ht="12.75">
      <c r="B21" s="170"/>
      <c r="C21" s="1"/>
      <c r="D21" s="166" t="s">
        <v>234</v>
      </c>
      <c r="E21" s="410" t="s">
        <v>239</v>
      </c>
      <c r="F21" s="1"/>
      <c r="G21" s="1"/>
      <c r="H21" s="1"/>
      <c r="I21" s="171"/>
    </row>
    <row r="22" spans="2:9" ht="14.25">
      <c r="B22" s="170"/>
      <c r="C22" s="1"/>
      <c r="D22" s="174" t="s">
        <v>236</v>
      </c>
      <c r="E22" s="411"/>
      <c r="F22" s="1"/>
      <c r="G22" s="1"/>
      <c r="H22" s="1"/>
      <c r="I22" s="171"/>
    </row>
    <row r="23" spans="2:9" ht="12.75">
      <c r="B23" s="170" t="s">
        <v>226</v>
      </c>
      <c r="C23" s="173" t="s">
        <v>237</v>
      </c>
      <c r="D23" s="1"/>
      <c r="E23" s="1"/>
      <c r="F23" s="1"/>
      <c r="G23" s="1"/>
      <c r="H23" s="1"/>
      <c r="I23" s="171"/>
    </row>
    <row r="24" spans="2:9" ht="12.75">
      <c r="B24" s="170"/>
      <c r="C24" s="173" t="s">
        <v>238</v>
      </c>
      <c r="D24" s="1"/>
      <c r="E24" s="1"/>
      <c r="F24" s="1"/>
      <c r="G24" s="1"/>
      <c r="H24" s="1"/>
      <c r="I24" s="171"/>
    </row>
    <row r="25" spans="2:9" ht="12.75">
      <c r="B25" s="170"/>
      <c r="C25" s="173" t="s">
        <v>229</v>
      </c>
      <c r="D25" s="1"/>
      <c r="E25" s="1"/>
      <c r="F25" s="1"/>
      <c r="G25" s="1"/>
      <c r="H25" s="1"/>
      <c r="I25" s="171"/>
    </row>
    <row r="26" spans="2:9" ht="12.75">
      <c r="B26" s="170"/>
      <c r="C26" s="173" t="s">
        <v>230</v>
      </c>
      <c r="D26" s="1"/>
      <c r="E26" s="1"/>
      <c r="F26" s="1"/>
      <c r="G26" s="1"/>
      <c r="H26" s="1"/>
      <c r="I26" s="171"/>
    </row>
    <row r="27" spans="2:9" ht="12.75">
      <c r="B27" s="170"/>
      <c r="C27" s="1"/>
      <c r="D27" s="1"/>
      <c r="E27" s="1"/>
      <c r="F27" s="1"/>
      <c r="G27" s="1"/>
      <c r="H27" s="1"/>
      <c r="I27" s="171"/>
    </row>
    <row r="28" spans="2:9" ht="15.75">
      <c r="B28" s="175" t="s">
        <v>241</v>
      </c>
      <c r="C28" s="1"/>
      <c r="D28" s="1"/>
      <c r="E28" s="1"/>
      <c r="F28" s="1"/>
      <c r="G28" s="1"/>
      <c r="H28" s="1"/>
      <c r="I28" s="171"/>
    </row>
    <row r="29" spans="2:9" ht="13.5" thickBot="1">
      <c r="B29" s="176" t="s">
        <v>240</v>
      </c>
      <c r="C29" s="177"/>
      <c r="D29" s="177"/>
      <c r="E29" s="177"/>
      <c r="F29" s="177"/>
      <c r="G29" s="177"/>
      <c r="H29" s="177"/>
      <c r="I29" s="178"/>
    </row>
    <row r="30" ht="13.5" thickTop="1"/>
    <row r="31" ht="13.5" thickBot="1"/>
    <row r="32" spans="2:9" ht="13.5" thickTop="1">
      <c r="B32" s="179" t="s">
        <v>222</v>
      </c>
      <c r="C32" s="180"/>
      <c r="D32" s="180"/>
      <c r="E32" s="180"/>
      <c r="F32" s="180"/>
      <c r="G32" s="180"/>
      <c r="H32" s="180"/>
      <c r="I32" s="181"/>
    </row>
    <row r="33" spans="2:9" ht="12.75">
      <c r="B33" s="183"/>
      <c r="C33" s="201"/>
      <c r="D33" s="201"/>
      <c r="E33" s="201"/>
      <c r="F33" s="201"/>
      <c r="G33" s="201"/>
      <c r="H33" s="201"/>
      <c r="I33" s="182"/>
    </row>
    <row r="34" spans="2:9" ht="15.75" customHeight="1">
      <c r="B34" s="406" t="s">
        <v>291</v>
      </c>
      <c r="C34" s="193" t="s">
        <v>293</v>
      </c>
      <c r="D34" s="202"/>
      <c r="E34" s="202"/>
      <c r="F34" s="202"/>
      <c r="G34" s="202"/>
      <c r="H34" s="202"/>
      <c r="I34" s="182"/>
    </row>
    <row r="35" spans="2:9" ht="15" customHeight="1">
      <c r="B35" s="406"/>
      <c r="C35" s="193" t="s">
        <v>292</v>
      </c>
      <c r="D35" s="202"/>
      <c r="E35" s="202"/>
      <c r="F35" s="202"/>
      <c r="G35" s="202"/>
      <c r="H35" s="202"/>
      <c r="I35" s="182"/>
    </row>
    <row r="36" spans="2:9" ht="12.75">
      <c r="B36" s="205"/>
      <c r="C36" s="1"/>
      <c r="D36" s="202"/>
      <c r="E36" s="202"/>
      <c r="F36" s="202"/>
      <c r="G36" s="202"/>
      <c r="H36" s="202"/>
      <c r="I36" s="182"/>
    </row>
    <row r="37" spans="2:9" ht="12.75">
      <c r="B37" s="206" t="s">
        <v>226</v>
      </c>
      <c r="C37" s="204" t="s">
        <v>261</v>
      </c>
      <c r="D37" s="202"/>
      <c r="E37" s="202"/>
      <c r="F37" s="203"/>
      <c r="G37" s="202"/>
      <c r="H37" s="202"/>
      <c r="I37" s="182"/>
    </row>
    <row r="38" spans="2:9" ht="12.75">
      <c r="B38" s="183"/>
      <c r="C38" s="204" t="s">
        <v>262</v>
      </c>
      <c r="D38" s="202"/>
      <c r="E38" s="202"/>
      <c r="F38" s="203"/>
      <c r="G38" s="202"/>
      <c r="H38" s="202"/>
      <c r="I38" s="182"/>
    </row>
    <row r="39" spans="2:9" ht="12.75">
      <c r="B39" s="183"/>
      <c r="C39" s="173" t="s">
        <v>265</v>
      </c>
      <c r="D39" s="202"/>
      <c r="E39" s="202"/>
      <c r="F39" s="202"/>
      <c r="G39" s="202"/>
      <c r="H39" s="202"/>
      <c r="I39" s="182"/>
    </row>
    <row r="40" spans="2:9" ht="12.75">
      <c r="B40" s="183"/>
      <c r="C40" s="204" t="s">
        <v>263</v>
      </c>
      <c r="D40" s="1"/>
      <c r="E40" s="1"/>
      <c r="F40" s="1"/>
      <c r="G40" s="1"/>
      <c r="H40" s="1"/>
      <c r="I40" s="182"/>
    </row>
    <row r="41" spans="2:9" ht="12.75">
      <c r="B41" s="183"/>
      <c r="C41" s="204" t="s">
        <v>264</v>
      </c>
      <c r="D41" s="1"/>
      <c r="E41" s="1"/>
      <c r="F41" s="1"/>
      <c r="G41" s="1"/>
      <c r="H41" s="1"/>
      <c r="I41" s="182"/>
    </row>
    <row r="42" spans="2:9" ht="13.5" thickBot="1">
      <c r="B42" s="184"/>
      <c r="C42" s="207" t="s">
        <v>266</v>
      </c>
      <c r="D42" s="185"/>
      <c r="E42" s="185"/>
      <c r="F42" s="185"/>
      <c r="G42" s="185"/>
      <c r="H42" s="185"/>
      <c r="I42" s="186"/>
    </row>
    <row r="43" spans="2:9" ht="14.25" thickBot="1" thickTop="1">
      <c r="B43" s="1"/>
      <c r="C43" s="1"/>
      <c r="D43" s="1"/>
      <c r="E43" s="1"/>
      <c r="F43" s="1"/>
      <c r="G43" s="1"/>
      <c r="H43" s="1"/>
      <c r="I43" s="1"/>
    </row>
    <row r="44" spans="2:9" ht="13.5" thickTop="1">
      <c r="B44" s="187" t="s">
        <v>242</v>
      </c>
      <c r="C44" s="188"/>
      <c r="D44" s="188"/>
      <c r="E44" s="188"/>
      <c r="F44" s="188"/>
      <c r="G44" s="188"/>
      <c r="H44" s="188"/>
      <c r="I44" s="189"/>
    </row>
    <row r="45" spans="2:9" ht="12.75">
      <c r="B45" s="190"/>
      <c r="C45" s="1"/>
      <c r="D45" s="1"/>
      <c r="E45" s="1"/>
      <c r="F45" s="1"/>
      <c r="G45" s="1"/>
      <c r="H45" s="1"/>
      <c r="I45" s="191"/>
    </row>
    <row r="46" spans="2:9" ht="12.75">
      <c r="B46" s="192" t="s">
        <v>245</v>
      </c>
      <c r="C46" s="1"/>
      <c r="D46" s="409" t="s">
        <v>199</v>
      </c>
      <c r="E46" s="409"/>
      <c r="F46" s="409"/>
      <c r="G46" s="1"/>
      <c r="H46" s="1"/>
      <c r="I46" s="191"/>
    </row>
    <row r="47" spans="2:9" ht="12.75">
      <c r="B47" s="190"/>
      <c r="C47" s="1"/>
      <c r="D47" s="193" t="s">
        <v>246</v>
      </c>
      <c r="E47" s="1"/>
      <c r="F47" s="1"/>
      <c r="G47" s="1"/>
      <c r="H47" s="1"/>
      <c r="I47" s="191"/>
    </row>
    <row r="48" spans="2:9" ht="12.75">
      <c r="B48" s="190"/>
      <c r="C48" s="1"/>
      <c r="D48" s="1"/>
      <c r="E48" s="1"/>
      <c r="F48" s="1"/>
      <c r="G48" s="1"/>
      <c r="H48" s="1"/>
      <c r="I48" s="191"/>
    </row>
    <row r="49" spans="2:9" ht="12.75">
      <c r="B49" s="194" t="s">
        <v>226</v>
      </c>
      <c r="C49" s="173" t="s">
        <v>247</v>
      </c>
      <c r="D49" s="1"/>
      <c r="E49" s="1"/>
      <c r="F49" s="1"/>
      <c r="G49" s="1"/>
      <c r="H49" s="1"/>
      <c r="I49" s="191"/>
    </row>
    <row r="50" spans="2:9" ht="12.75">
      <c r="B50" s="216"/>
      <c r="C50" s="213"/>
      <c r="D50" s="213"/>
      <c r="E50" s="213"/>
      <c r="F50" s="213"/>
      <c r="G50" s="213"/>
      <c r="H50" s="213"/>
      <c r="I50" s="217"/>
    </row>
    <row r="51" spans="2:9" ht="14.25">
      <c r="B51" s="192" t="s">
        <v>253</v>
      </c>
      <c r="C51" s="409" t="s">
        <v>248</v>
      </c>
      <c r="D51" s="409"/>
      <c r="E51" s="409"/>
      <c r="F51" s="409"/>
      <c r="G51" s="1"/>
      <c r="H51" s="1"/>
      <c r="I51" s="191"/>
    </row>
    <row r="52" spans="2:9" ht="12.75">
      <c r="B52" s="190"/>
      <c r="C52" s="193" t="s">
        <v>249</v>
      </c>
      <c r="D52" s="1"/>
      <c r="E52" s="1"/>
      <c r="F52" s="1"/>
      <c r="G52" s="1"/>
      <c r="H52" s="1"/>
      <c r="I52" s="191"/>
    </row>
    <row r="53" spans="2:9" ht="12.75">
      <c r="B53" s="190"/>
      <c r="C53" s="1"/>
      <c r="D53" s="195">
        <v>100</v>
      </c>
      <c r="E53" s="193"/>
      <c r="F53" s="195">
        <v>30</v>
      </c>
      <c r="G53" s="1"/>
      <c r="H53" s="1"/>
      <c r="I53" s="191"/>
    </row>
    <row r="54" spans="2:9" ht="12.75">
      <c r="B54" s="190"/>
      <c r="C54" s="1"/>
      <c r="D54" s="1"/>
      <c r="E54" s="1"/>
      <c r="F54" s="1"/>
      <c r="G54" s="1"/>
      <c r="H54" s="1"/>
      <c r="I54" s="191"/>
    </row>
    <row r="55" spans="2:9" ht="12.75">
      <c r="B55" s="194" t="s">
        <v>226</v>
      </c>
      <c r="C55" s="173" t="s">
        <v>252</v>
      </c>
      <c r="D55" s="1"/>
      <c r="E55" s="1"/>
      <c r="F55" s="1"/>
      <c r="G55" s="1"/>
      <c r="H55" s="1"/>
      <c r="I55" s="191"/>
    </row>
    <row r="56" spans="2:9" ht="12.75">
      <c r="B56" s="190"/>
      <c r="C56" s="173" t="s">
        <v>250</v>
      </c>
      <c r="D56" s="1"/>
      <c r="E56" s="1"/>
      <c r="F56" s="1"/>
      <c r="G56" s="1"/>
      <c r="H56" s="1"/>
      <c r="I56" s="191"/>
    </row>
    <row r="57" spans="2:9" ht="12.75">
      <c r="B57" s="190"/>
      <c r="C57" s="173" t="s">
        <v>251</v>
      </c>
      <c r="D57" s="1"/>
      <c r="E57" s="1"/>
      <c r="F57" s="1"/>
      <c r="G57" s="1"/>
      <c r="H57" s="1"/>
      <c r="I57" s="191"/>
    </row>
    <row r="58" spans="2:9" ht="12.75">
      <c r="B58" s="216"/>
      <c r="C58" s="213"/>
      <c r="D58" s="213"/>
      <c r="E58" s="213"/>
      <c r="F58" s="213"/>
      <c r="G58" s="213"/>
      <c r="H58" s="213"/>
      <c r="I58" s="217"/>
    </row>
    <row r="59" spans="2:9" ht="14.25">
      <c r="B59" s="192" t="s">
        <v>254</v>
      </c>
      <c r="C59" s="1"/>
      <c r="D59" s="196" t="s">
        <v>255</v>
      </c>
      <c r="E59" s="197"/>
      <c r="F59" s="197"/>
      <c r="G59" s="197"/>
      <c r="H59" s="1"/>
      <c r="I59" s="191"/>
    </row>
    <row r="60" spans="2:9" ht="12.75">
      <c r="B60" s="190"/>
      <c r="C60" s="1"/>
      <c r="D60" s="1"/>
      <c r="E60" s="1"/>
      <c r="F60" s="1"/>
      <c r="G60" s="1"/>
      <c r="H60" s="1"/>
      <c r="I60" s="191"/>
    </row>
    <row r="61" spans="2:9" ht="12.75">
      <c r="B61" s="194" t="s">
        <v>226</v>
      </c>
      <c r="C61" s="173" t="s">
        <v>280</v>
      </c>
      <c r="D61" s="1"/>
      <c r="E61" s="1"/>
      <c r="F61" s="1"/>
      <c r="G61" s="1"/>
      <c r="H61" s="1"/>
      <c r="I61" s="191"/>
    </row>
    <row r="62" spans="2:9" ht="12.75">
      <c r="B62" s="190"/>
      <c r="C62" s="173" t="s">
        <v>267</v>
      </c>
      <c r="D62" s="1"/>
      <c r="E62" s="1"/>
      <c r="F62" s="1"/>
      <c r="G62" s="1"/>
      <c r="H62" s="1"/>
      <c r="I62" s="191"/>
    </row>
    <row r="63" spans="2:9" ht="12.75">
      <c r="B63" s="216"/>
      <c r="C63" s="214"/>
      <c r="D63" s="213"/>
      <c r="E63" s="213"/>
      <c r="F63" s="213"/>
      <c r="G63" s="213"/>
      <c r="H63" s="213"/>
      <c r="I63" s="217"/>
    </row>
    <row r="64" spans="2:9" ht="12.75">
      <c r="B64" s="190" t="s">
        <v>277</v>
      </c>
      <c r="C64" s="1"/>
      <c r="D64" s="1"/>
      <c r="E64" s="1"/>
      <c r="F64" s="1"/>
      <c r="G64" s="1"/>
      <c r="H64" s="1"/>
      <c r="I64" s="191"/>
    </row>
    <row r="65" spans="2:9" ht="12.75">
      <c r="B65" s="190"/>
      <c r="C65" s="1"/>
      <c r="D65" s="1"/>
      <c r="E65" s="1"/>
      <c r="F65" s="1"/>
      <c r="G65" s="1"/>
      <c r="H65" s="1"/>
      <c r="I65" s="191"/>
    </row>
    <row r="66" spans="2:9" ht="15">
      <c r="B66" s="192" t="s">
        <v>281</v>
      </c>
      <c r="C66" s="1"/>
      <c r="D66" s="1"/>
      <c r="E66" s="1"/>
      <c r="F66" s="1"/>
      <c r="G66" s="1"/>
      <c r="H66" s="1"/>
      <c r="I66" s="191"/>
    </row>
    <row r="67" spans="2:9" ht="12.75">
      <c r="B67" s="190"/>
      <c r="C67" s="1"/>
      <c r="D67" s="1"/>
      <c r="E67" s="1"/>
      <c r="F67" s="1"/>
      <c r="G67" s="1"/>
      <c r="H67" s="1"/>
      <c r="I67" s="191"/>
    </row>
    <row r="68" spans="2:9" ht="12.75">
      <c r="B68" s="194" t="s">
        <v>226</v>
      </c>
      <c r="C68" s="173" t="s">
        <v>278</v>
      </c>
      <c r="D68" s="1"/>
      <c r="E68" s="1"/>
      <c r="F68" s="1"/>
      <c r="G68" s="1"/>
      <c r="H68" s="1"/>
      <c r="I68" s="191"/>
    </row>
    <row r="69" spans="2:9" ht="12.75">
      <c r="B69" s="190"/>
      <c r="C69" s="173" t="s">
        <v>279</v>
      </c>
      <c r="D69" s="1"/>
      <c r="E69" s="1"/>
      <c r="F69" s="1"/>
      <c r="G69" s="1"/>
      <c r="H69" s="1"/>
      <c r="I69" s="191"/>
    </row>
    <row r="70" spans="2:9" ht="14.25" customHeight="1">
      <c r="B70" s="190"/>
      <c r="C70" s="1"/>
      <c r="D70" s="215" t="s">
        <v>282</v>
      </c>
      <c r="E70" s="1"/>
      <c r="F70" s="1"/>
      <c r="G70" s="1"/>
      <c r="H70" s="1"/>
      <c r="I70" s="191"/>
    </row>
    <row r="71" spans="2:9" ht="9" customHeight="1" thickBot="1">
      <c r="B71" s="198"/>
      <c r="C71" s="199"/>
      <c r="D71" s="407" t="s">
        <v>283</v>
      </c>
      <c r="E71" s="408"/>
      <c r="F71" s="408"/>
      <c r="G71" s="408"/>
      <c r="H71" s="199"/>
      <c r="I71" s="200"/>
    </row>
    <row r="72" ht="13.5" thickTop="1"/>
  </sheetData>
  <sheetProtection sheet="1" objects="1" scenarios="1"/>
  <mergeCells count="6">
    <mergeCell ref="B34:B35"/>
    <mergeCell ref="D71:G71"/>
    <mergeCell ref="D20:E20"/>
    <mergeCell ref="E21:E22"/>
    <mergeCell ref="D46:F46"/>
    <mergeCell ref="C51:F51"/>
  </mergeCells>
  <printOptions/>
  <pageMargins left="0.75" right="0.75" top="1" bottom="1" header="0.5" footer="0.5"/>
  <pageSetup horizontalDpi="600" verticalDpi="600" orientation="portrait"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 Extension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 Shrink/ Swell, EMC, and Density</dc:title>
  <dc:subject>Calculates shrink/ swell for wood, EMC given temp and RH, and density given SG</dc:subject>
  <dc:creator>Scott Leavengood</dc:creator>
  <cp:keywords/>
  <dc:description/>
  <cp:lastModifiedBy>Scott Leavengood</cp:lastModifiedBy>
  <cp:lastPrinted>1999-12-16T01:14:20Z</cp:lastPrinted>
  <dcterms:created xsi:type="dcterms:W3CDTF">1999-03-23T22:33:24Z</dcterms:created>
  <dcterms:modified xsi:type="dcterms:W3CDTF">2001-11-28T22:33:15Z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